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hayleycronquist/Downloads/"/>
    </mc:Choice>
  </mc:AlternateContent>
  <xr:revisionPtr revIDLastSave="0" documentId="13_ncr:1_{58522844-6DCE-0C49-BD65-933BBA0EC127}" xr6:coauthVersionLast="47" xr6:coauthVersionMax="47" xr10:uidLastSave="{00000000-0000-0000-0000-000000000000}"/>
  <bookViews>
    <workbookView xWindow="0" yWindow="680" windowWidth="28120" windowHeight="19900" xr2:uid="{AF8EFA3A-12E3-6444-96C0-D630C51BE09E}"/>
  </bookViews>
  <sheets>
    <sheet name="Summary Data" sheetId="1" r:id="rId1"/>
    <sheet name="Summary NonNurse-USA" sheetId="2" r:id="rId2"/>
    <sheet name="Summary NonNurse-Region &amp; State" sheetId="3" r:id="rId3"/>
    <sheet name="Notes &amp; Glossary" sheetId="4" r:id="rId4"/>
  </sheets>
  <externalReferences>
    <externalReference r:id="rId5"/>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0" i="3" l="1"/>
  <c r="AR30" i="3"/>
  <c r="AQ30" i="3"/>
  <c r="AS29" i="3"/>
  <c r="AR29" i="3"/>
  <c r="AQ29" i="3"/>
  <c r="AS28" i="3"/>
  <c r="AR28" i="3"/>
  <c r="AQ28" i="3"/>
  <c r="AS27" i="3"/>
  <c r="AR27" i="3"/>
  <c r="AQ27" i="3"/>
  <c r="AS26" i="3"/>
  <c r="AR26" i="3"/>
  <c r="AQ26" i="3"/>
  <c r="AS25" i="3"/>
  <c r="AR25" i="3"/>
  <c r="AQ25" i="3"/>
  <c r="AS24" i="3"/>
  <c r="AR24" i="3"/>
  <c r="AQ24" i="3"/>
  <c r="AS23" i="3"/>
  <c r="AR23" i="3"/>
  <c r="AQ23" i="3"/>
  <c r="AS22" i="3"/>
  <c r="AR22" i="3"/>
  <c r="AQ22" i="3"/>
  <c r="AS21" i="3"/>
  <c r="AR21" i="3"/>
  <c r="AQ21" i="3"/>
  <c r="AS20" i="3"/>
  <c r="AR20" i="3"/>
  <c r="AQ20" i="3"/>
  <c r="AS19" i="3"/>
  <c r="AR19" i="3"/>
  <c r="AQ19" i="3"/>
  <c r="AS18" i="3"/>
  <c r="AR18" i="3"/>
  <c r="AQ18" i="3"/>
  <c r="AS17" i="3"/>
  <c r="AR17" i="3"/>
  <c r="AQ17" i="3"/>
  <c r="AS16" i="3"/>
  <c r="AR16" i="3"/>
  <c r="AQ16" i="3"/>
  <c r="AS15" i="3"/>
  <c r="AR15" i="3"/>
  <c r="AQ15" i="3"/>
  <c r="AS14" i="3"/>
  <c r="AR14" i="3"/>
  <c r="AQ14" i="3"/>
  <c r="AS13" i="3"/>
  <c r="AR13" i="3"/>
  <c r="AQ13" i="3"/>
  <c r="AS12" i="3"/>
  <c r="AR12" i="3"/>
  <c r="AQ12" i="3"/>
  <c r="AS11" i="3"/>
  <c r="AR11" i="3"/>
  <c r="AQ11" i="3"/>
  <c r="AS10" i="3"/>
  <c r="AR10" i="3"/>
  <c r="AQ10" i="3"/>
  <c r="AS9" i="3"/>
  <c r="AR9" i="3"/>
  <c r="AQ9" i="3"/>
  <c r="AS8" i="3"/>
  <c r="AR8" i="3"/>
  <c r="AQ8" i="3"/>
  <c r="AS7" i="3"/>
  <c r="AR7" i="3"/>
  <c r="AQ7" i="3"/>
  <c r="AS6" i="3"/>
  <c r="AR6" i="3"/>
  <c r="AQ6" i="3"/>
  <c r="AS5" i="3"/>
  <c r="AR5" i="3"/>
  <c r="AQ5" i="3"/>
  <c r="AS4" i="3"/>
  <c r="AR4" i="3"/>
  <c r="AQ4" i="3"/>
  <c r="AS3" i="3"/>
  <c r="AR3" i="3"/>
  <c r="AQ3" i="3"/>
  <c r="AM54" i="3"/>
  <c r="AN54" i="3" s="1"/>
  <c r="AK54" i="3"/>
  <c r="AL54" i="3" s="1"/>
  <c r="AI54" i="3"/>
  <c r="AJ54" i="3" s="1"/>
  <c r="AG54" i="3"/>
  <c r="AH54" i="3" s="1"/>
  <c r="AE54" i="3"/>
  <c r="AF54" i="3" s="1"/>
  <c r="AC54" i="3"/>
  <c r="AD54" i="3" s="1"/>
  <c r="AA54" i="3"/>
  <c r="AB54" i="3" s="1"/>
  <c r="Z54" i="3"/>
  <c r="Y54" i="3"/>
  <c r="AM53" i="3"/>
  <c r="AN53" i="3" s="1"/>
  <c r="AK53" i="3"/>
  <c r="AL53" i="3" s="1"/>
  <c r="AI53" i="3"/>
  <c r="AJ53" i="3" s="1"/>
  <c r="AG53" i="3"/>
  <c r="AH53" i="3" s="1"/>
  <c r="AE53" i="3"/>
  <c r="AF53" i="3" s="1"/>
  <c r="AC53" i="3"/>
  <c r="AD53" i="3" s="1"/>
  <c r="AA53" i="3"/>
  <c r="AB53" i="3" s="1"/>
  <c r="Z53" i="3"/>
  <c r="Y53" i="3"/>
  <c r="AM52" i="3"/>
  <c r="AN52" i="3" s="1"/>
  <c r="AK52" i="3"/>
  <c r="AL52" i="3" s="1"/>
  <c r="AI52" i="3"/>
  <c r="AJ52" i="3" s="1"/>
  <c r="AG52" i="3"/>
  <c r="AH52" i="3" s="1"/>
  <c r="AE52" i="3"/>
  <c r="AF52" i="3" s="1"/>
  <c r="AC52" i="3"/>
  <c r="AD52" i="3" s="1"/>
  <c r="AA52" i="3"/>
  <c r="AB52" i="3" s="1"/>
  <c r="Z52" i="3"/>
  <c r="Y52" i="3"/>
  <c r="AM51" i="3"/>
  <c r="AN51" i="3" s="1"/>
  <c r="AK51" i="3"/>
  <c r="AL51" i="3" s="1"/>
  <c r="AI51" i="3"/>
  <c r="AJ51" i="3" s="1"/>
  <c r="AG51" i="3"/>
  <c r="AH51" i="3" s="1"/>
  <c r="AE51" i="3"/>
  <c r="AF51" i="3" s="1"/>
  <c r="AC51" i="3"/>
  <c r="AD51" i="3" s="1"/>
  <c r="AA51" i="3"/>
  <c r="AB51" i="3" s="1"/>
  <c r="Z51" i="3"/>
  <c r="Y51" i="3"/>
  <c r="AM50" i="3"/>
  <c r="AN50" i="3" s="1"/>
  <c r="AK50" i="3"/>
  <c r="AL50" i="3" s="1"/>
  <c r="AI50" i="3"/>
  <c r="AJ50" i="3" s="1"/>
  <c r="AG50" i="3"/>
  <c r="AH50" i="3" s="1"/>
  <c r="AE50" i="3"/>
  <c r="AF50" i="3" s="1"/>
  <c r="AC50" i="3"/>
  <c r="AD50" i="3" s="1"/>
  <c r="AA50" i="3"/>
  <c r="AB50" i="3" s="1"/>
  <c r="Z50" i="3"/>
  <c r="Y50" i="3"/>
  <c r="AM49" i="3"/>
  <c r="AN49" i="3" s="1"/>
  <c r="AK49" i="3"/>
  <c r="AL49" i="3" s="1"/>
  <c r="AI49" i="3"/>
  <c r="AJ49" i="3" s="1"/>
  <c r="AG49" i="3"/>
  <c r="AH49" i="3" s="1"/>
  <c r="AE49" i="3"/>
  <c r="AF49" i="3" s="1"/>
  <c r="AC49" i="3"/>
  <c r="AD49" i="3" s="1"/>
  <c r="AA49" i="3"/>
  <c r="AB49" i="3" s="1"/>
  <c r="Z49" i="3"/>
  <c r="Y49" i="3"/>
  <c r="AM48" i="3"/>
  <c r="AN48" i="3" s="1"/>
  <c r="AK48" i="3"/>
  <c r="AL48" i="3" s="1"/>
  <c r="AI48" i="3"/>
  <c r="AJ48" i="3" s="1"/>
  <c r="AG48" i="3"/>
  <c r="AH48" i="3" s="1"/>
  <c r="AE48" i="3"/>
  <c r="AF48" i="3" s="1"/>
  <c r="AC48" i="3"/>
  <c r="AD48" i="3" s="1"/>
  <c r="AA48" i="3"/>
  <c r="AB48" i="3" s="1"/>
  <c r="Z48" i="3"/>
  <c r="Y48" i="3"/>
  <c r="AM47" i="3"/>
  <c r="AN47" i="3" s="1"/>
  <c r="AK47" i="3"/>
  <c r="AL47" i="3" s="1"/>
  <c r="AI47" i="3"/>
  <c r="AJ47" i="3" s="1"/>
  <c r="AG47" i="3"/>
  <c r="AH47" i="3" s="1"/>
  <c r="AE47" i="3"/>
  <c r="AF47" i="3" s="1"/>
  <c r="AC47" i="3"/>
  <c r="AD47" i="3" s="1"/>
  <c r="AA47" i="3"/>
  <c r="AB47" i="3" s="1"/>
  <c r="Z47" i="3"/>
  <c r="Y47" i="3"/>
  <c r="AM46" i="3"/>
  <c r="AN46" i="3" s="1"/>
  <c r="AK46" i="3"/>
  <c r="AL46" i="3" s="1"/>
  <c r="AI46" i="3"/>
  <c r="AJ46" i="3" s="1"/>
  <c r="AG46" i="3"/>
  <c r="AH46" i="3" s="1"/>
  <c r="AE46" i="3"/>
  <c r="AF46" i="3" s="1"/>
  <c r="AC46" i="3"/>
  <c r="AD46" i="3" s="1"/>
  <c r="AA46" i="3"/>
  <c r="AB46" i="3" s="1"/>
  <c r="Z46" i="3"/>
  <c r="Y46" i="3"/>
  <c r="AM45" i="3"/>
  <c r="AN45" i="3" s="1"/>
  <c r="AK45" i="3"/>
  <c r="AL45" i="3" s="1"/>
  <c r="AI45" i="3"/>
  <c r="AJ45" i="3" s="1"/>
  <c r="AG45" i="3"/>
  <c r="AH45" i="3" s="1"/>
  <c r="AE45" i="3"/>
  <c r="AF45" i="3" s="1"/>
  <c r="AC45" i="3"/>
  <c r="AD45" i="3" s="1"/>
  <c r="AA45" i="3"/>
  <c r="AB45" i="3" s="1"/>
  <c r="Z45" i="3"/>
  <c r="Y45" i="3"/>
  <c r="AM44" i="3"/>
  <c r="AN44" i="3" s="1"/>
  <c r="AK44" i="3"/>
  <c r="AL44" i="3" s="1"/>
  <c r="AI44" i="3"/>
  <c r="AJ44" i="3" s="1"/>
  <c r="AG44" i="3"/>
  <c r="AH44" i="3" s="1"/>
  <c r="AE44" i="3"/>
  <c r="AF44" i="3" s="1"/>
  <c r="AC44" i="3"/>
  <c r="AD44" i="3" s="1"/>
  <c r="AA44" i="3"/>
  <c r="AB44" i="3" s="1"/>
  <c r="Z44" i="3"/>
  <c r="Y44" i="3"/>
  <c r="AM43" i="3"/>
  <c r="AN43" i="3" s="1"/>
  <c r="AK43" i="3"/>
  <c r="AL43" i="3" s="1"/>
  <c r="AI43" i="3"/>
  <c r="AJ43" i="3" s="1"/>
  <c r="AG43" i="3"/>
  <c r="AH43" i="3" s="1"/>
  <c r="AE43" i="3"/>
  <c r="AF43" i="3" s="1"/>
  <c r="AC43" i="3"/>
  <c r="AD43" i="3" s="1"/>
  <c r="AA43" i="3"/>
  <c r="AB43" i="3" s="1"/>
  <c r="Z43" i="3"/>
  <c r="Y43" i="3"/>
  <c r="AM42" i="3"/>
  <c r="AN42" i="3" s="1"/>
  <c r="AK42" i="3"/>
  <c r="AL42" i="3" s="1"/>
  <c r="AI42" i="3"/>
  <c r="AJ42" i="3" s="1"/>
  <c r="AG42" i="3"/>
  <c r="AH42" i="3" s="1"/>
  <c r="AE42" i="3"/>
  <c r="AF42" i="3" s="1"/>
  <c r="AC42" i="3"/>
  <c r="AD42" i="3" s="1"/>
  <c r="AA42" i="3"/>
  <c r="AB42" i="3" s="1"/>
  <c r="Z42" i="3"/>
  <c r="Y42" i="3"/>
  <c r="AM41" i="3"/>
  <c r="AN41" i="3" s="1"/>
  <c r="AK41" i="3"/>
  <c r="AL41" i="3" s="1"/>
  <c r="AI41" i="3"/>
  <c r="AJ41" i="3" s="1"/>
  <c r="AG41" i="3"/>
  <c r="AH41" i="3" s="1"/>
  <c r="AE41" i="3"/>
  <c r="AF41" i="3" s="1"/>
  <c r="AC41" i="3"/>
  <c r="AD41" i="3" s="1"/>
  <c r="AA41" i="3"/>
  <c r="AB41" i="3" s="1"/>
  <c r="Z41" i="3"/>
  <c r="Y41" i="3"/>
  <c r="AM40" i="3"/>
  <c r="AN40" i="3" s="1"/>
  <c r="AK40" i="3"/>
  <c r="AL40" i="3" s="1"/>
  <c r="AI40" i="3"/>
  <c r="AJ40" i="3" s="1"/>
  <c r="AG40" i="3"/>
  <c r="AH40" i="3" s="1"/>
  <c r="AE40" i="3"/>
  <c r="AF40" i="3" s="1"/>
  <c r="AC40" i="3"/>
  <c r="AD40" i="3" s="1"/>
  <c r="AA40" i="3"/>
  <c r="AB40" i="3" s="1"/>
  <c r="Z40" i="3"/>
  <c r="Y40" i="3"/>
  <c r="AM39" i="3"/>
  <c r="AN39" i="3" s="1"/>
  <c r="AK39" i="3"/>
  <c r="AL39" i="3" s="1"/>
  <c r="AI39" i="3"/>
  <c r="AJ39" i="3" s="1"/>
  <c r="AG39" i="3"/>
  <c r="AH39" i="3" s="1"/>
  <c r="AE39" i="3"/>
  <c r="AF39" i="3" s="1"/>
  <c r="AC39" i="3"/>
  <c r="AD39" i="3" s="1"/>
  <c r="AA39" i="3"/>
  <c r="AB39" i="3" s="1"/>
  <c r="Z39" i="3"/>
  <c r="Y39" i="3"/>
  <c r="AM38" i="3"/>
  <c r="AN38" i="3" s="1"/>
  <c r="AK38" i="3"/>
  <c r="AL38" i="3" s="1"/>
  <c r="AI38" i="3"/>
  <c r="AJ38" i="3" s="1"/>
  <c r="AG38" i="3"/>
  <c r="AH38" i="3" s="1"/>
  <c r="AE38" i="3"/>
  <c r="AF38" i="3" s="1"/>
  <c r="AC38" i="3"/>
  <c r="AD38" i="3" s="1"/>
  <c r="AA38" i="3"/>
  <c r="AB38" i="3" s="1"/>
  <c r="Z38" i="3"/>
  <c r="Y38" i="3"/>
  <c r="AM37" i="3"/>
  <c r="AN37" i="3" s="1"/>
  <c r="AK37" i="3"/>
  <c r="AL37" i="3" s="1"/>
  <c r="AI37" i="3"/>
  <c r="AJ37" i="3" s="1"/>
  <c r="AG37" i="3"/>
  <c r="AH37" i="3" s="1"/>
  <c r="AE37" i="3"/>
  <c r="AF37" i="3" s="1"/>
  <c r="AC37" i="3"/>
  <c r="AD37" i="3" s="1"/>
  <c r="AA37" i="3"/>
  <c r="AB37" i="3" s="1"/>
  <c r="Z37" i="3"/>
  <c r="Y37" i="3"/>
  <c r="AM36" i="3"/>
  <c r="AN36" i="3" s="1"/>
  <c r="AK36" i="3"/>
  <c r="AL36" i="3" s="1"/>
  <c r="AI36" i="3"/>
  <c r="AJ36" i="3" s="1"/>
  <c r="AG36" i="3"/>
  <c r="AH36" i="3" s="1"/>
  <c r="AE36" i="3"/>
  <c r="AF36" i="3" s="1"/>
  <c r="AC36" i="3"/>
  <c r="AD36" i="3" s="1"/>
  <c r="AA36" i="3"/>
  <c r="AB36" i="3" s="1"/>
  <c r="Z36" i="3"/>
  <c r="Y36" i="3"/>
  <c r="AM35" i="3"/>
  <c r="AN35" i="3" s="1"/>
  <c r="AK35" i="3"/>
  <c r="AL35" i="3" s="1"/>
  <c r="AI35" i="3"/>
  <c r="AJ35" i="3" s="1"/>
  <c r="AG35" i="3"/>
  <c r="AH35" i="3" s="1"/>
  <c r="AE35" i="3"/>
  <c r="AF35" i="3" s="1"/>
  <c r="AC35" i="3"/>
  <c r="AD35" i="3" s="1"/>
  <c r="AA35" i="3"/>
  <c r="AB35" i="3" s="1"/>
  <c r="Z35" i="3"/>
  <c r="Y35" i="3"/>
  <c r="AM34" i="3"/>
  <c r="AN34" i="3" s="1"/>
  <c r="AK34" i="3"/>
  <c r="AL34" i="3" s="1"/>
  <c r="AI34" i="3"/>
  <c r="AJ34" i="3" s="1"/>
  <c r="AG34" i="3"/>
  <c r="AH34" i="3" s="1"/>
  <c r="AE34" i="3"/>
  <c r="AF34" i="3" s="1"/>
  <c r="AC34" i="3"/>
  <c r="AD34" i="3" s="1"/>
  <c r="AA34" i="3"/>
  <c r="AB34" i="3" s="1"/>
  <c r="Z34" i="3"/>
  <c r="Y34" i="3"/>
  <c r="AM33" i="3"/>
  <c r="AN33" i="3" s="1"/>
  <c r="AK33" i="3"/>
  <c r="AL33" i="3" s="1"/>
  <c r="AI33" i="3"/>
  <c r="AJ33" i="3" s="1"/>
  <c r="AG33" i="3"/>
  <c r="AH33" i="3" s="1"/>
  <c r="AE33" i="3"/>
  <c r="AF33" i="3" s="1"/>
  <c r="AC33" i="3"/>
  <c r="AD33" i="3" s="1"/>
  <c r="AA33" i="3"/>
  <c r="AB33" i="3" s="1"/>
  <c r="Z33" i="3"/>
  <c r="Y33" i="3"/>
  <c r="AM32" i="3"/>
  <c r="AN32" i="3" s="1"/>
  <c r="AK32" i="3"/>
  <c r="AL32" i="3" s="1"/>
  <c r="AI32" i="3"/>
  <c r="AJ32" i="3" s="1"/>
  <c r="AG32" i="3"/>
  <c r="AH32" i="3" s="1"/>
  <c r="AE32" i="3"/>
  <c r="AF32" i="3" s="1"/>
  <c r="AC32" i="3"/>
  <c r="AD32" i="3" s="1"/>
  <c r="AA32" i="3"/>
  <c r="AB32" i="3" s="1"/>
  <c r="Z32" i="3"/>
  <c r="Y32" i="3"/>
  <c r="AM31" i="3"/>
  <c r="AN31" i="3" s="1"/>
  <c r="AK31" i="3"/>
  <c r="AL31" i="3" s="1"/>
  <c r="AI31" i="3"/>
  <c r="AJ31" i="3" s="1"/>
  <c r="AG31" i="3"/>
  <c r="AH31" i="3" s="1"/>
  <c r="AE31" i="3"/>
  <c r="AF31" i="3" s="1"/>
  <c r="AC31" i="3"/>
  <c r="AD31" i="3" s="1"/>
  <c r="AA31" i="3"/>
  <c r="AB31" i="3" s="1"/>
  <c r="Z31" i="3"/>
  <c r="Y31" i="3"/>
  <c r="AM30" i="3"/>
  <c r="AN30" i="3" s="1"/>
  <c r="AK30" i="3"/>
  <c r="AL30" i="3" s="1"/>
  <c r="AI30" i="3"/>
  <c r="AJ30" i="3" s="1"/>
  <c r="AG30" i="3"/>
  <c r="AH30" i="3" s="1"/>
  <c r="AE30" i="3"/>
  <c r="AF30" i="3" s="1"/>
  <c r="AC30" i="3"/>
  <c r="AD30" i="3" s="1"/>
  <c r="AA30" i="3"/>
  <c r="AB30" i="3" s="1"/>
  <c r="Z30" i="3"/>
  <c r="Y30" i="3"/>
  <c r="AM29" i="3"/>
  <c r="AN29" i="3" s="1"/>
  <c r="AK29" i="3"/>
  <c r="AL29" i="3" s="1"/>
  <c r="AI29" i="3"/>
  <c r="AJ29" i="3" s="1"/>
  <c r="AG29" i="3"/>
  <c r="AH29" i="3" s="1"/>
  <c r="AE29" i="3"/>
  <c r="AF29" i="3" s="1"/>
  <c r="AC29" i="3"/>
  <c r="AD29" i="3" s="1"/>
  <c r="AA29" i="3"/>
  <c r="AB29" i="3" s="1"/>
  <c r="Z29" i="3"/>
  <c r="Y29" i="3"/>
  <c r="AM28" i="3"/>
  <c r="AN28" i="3" s="1"/>
  <c r="AK28" i="3"/>
  <c r="AL28" i="3" s="1"/>
  <c r="AI28" i="3"/>
  <c r="AJ28" i="3" s="1"/>
  <c r="AG28" i="3"/>
  <c r="AH28" i="3" s="1"/>
  <c r="AE28" i="3"/>
  <c r="AF28" i="3" s="1"/>
  <c r="AC28" i="3"/>
  <c r="AD28" i="3" s="1"/>
  <c r="AA28" i="3"/>
  <c r="AB28" i="3" s="1"/>
  <c r="Z28" i="3"/>
  <c r="Y28" i="3"/>
  <c r="AM27" i="3"/>
  <c r="AN27" i="3" s="1"/>
  <c r="AK27" i="3"/>
  <c r="AL27" i="3" s="1"/>
  <c r="AI27" i="3"/>
  <c r="AJ27" i="3" s="1"/>
  <c r="AG27" i="3"/>
  <c r="AH27" i="3" s="1"/>
  <c r="AE27" i="3"/>
  <c r="AF27" i="3" s="1"/>
  <c r="AC27" i="3"/>
  <c r="AD27" i="3" s="1"/>
  <c r="AA27" i="3"/>
  <c r="AB27" i="3" s="1"/>
  <c r="Z27" i="3"/>
  <c r="Y27" i="3"/>
  <c r="AM26" i="3"/>
  <c r="AN26" i="3" s="1"/>
  <c r="AK26" i="3"/>
  <c r="AL26" i="3" s="1"/>
  <c r="AI26" i="3"/>
  <c r="AJ26" i="3" s="1"/>
  <c r="AG26" i="3"/>
  <c r="AH26" i="3" s="1"/>
  <c r="AE26" i="3"/>
  <c r="AF26" i="3" s="1"/>
  <c r="AC26" i="3"/>
  <c r="AD26" i="3" s="1"/>
  <c r="AA26" i="3"/>
  <c r="AB26" i="3" s="1"/>
  <c r="Z26" i="3"/>
  <c r="Y26" i="3"/>
  <c r="AM25" i="3"/>
  <c r="AN25" i="3" s="1"/>
  <c r="AK25" i="3"/>
  <c r="AL25" i="3" s="1"/>
  <c r="AI25" i="3"/>
  <c r="AJ25" i="3" s="1"/>
  <c r="AG25" i="3"/>
  <c r="AH25" i="3" s="1"/>
  <c r="AE25" i="3"/>
  <c r="AF25" i="3" s="1"/>
  <c r="AC25" i="3"/>
  <c r="AD25" i="3" s="1"/>
  <c r="AA25" i="3"/>
  <c r="AB25" i="3" s="1"/>
  <c r="Z25" i="3"/>
  <c r="Y25" i="3"/>
  <c r="AM24" i="3"/>
  <c r="AN24" i="3" s="1"/>
  <c r="AK24" i="3"/>
  <c r="AL24" i="3" s="1"/>
  <c r="AI24" i="3"/>
  <c r="AJ24" i="3" s="1"/>
  <c r="AG24" i="3"/>
  <c r="AH24" i="3" s="1"/>
  <c r="AE24" i="3"/>
  <c r="AF24" i="3" s="1"/>
  <c r="AC24" i="3"/>
  <c r="AD24" i="3" s="1"/>
  <c r="AA24" i="3"/>
  <c r="AB24" i="3" s="1"/>
  <c r="Z24" i="3"/>
  <c r="Y24" i="3"/>
  <c r="AM23" i="3"/>
  <c r="AN23" i="3" s="1"/>
  <c r="AK23" i="3"/>
  <c r="AL23" i="3" s="1"/>
  <c r="AI23" i="3"/>
  <c r="AJ23" i="3" s="1"/>
  <c r="AG23" i="3"/>
  <c r="AH23" i="3" s="1"/>
  <c r="AE23" i="3"/>
  <c r="AF23" i="3" s="1"/>
  <c r="AC23" i="3"/>
  <c r="AD23" i="3" s="1"/>
  <c r="AA23" i="3"/>
  <c r="AB23" i="3" s="1"/>
  <c r="Z23" i="3"/>
  <c r="Y23" i="3"/>
  <c r="AM22" i="3"/>
  <c r="AN22" i="3" s="1"/>
  <c r="AK22" i="3"/>
  <c r="AL22" i="3" s="1"/>
  <c r="AI22" i="3"/>
  <c r="AJ22" i="3" s="1"/>
  <c r="AG22" i="3"/>
  <c r="AH22" i="3" s="1"/>
  <c r="AE22" i="3"/>
  <c r="AF22" i="3" s="1"/>
  <c r="AC22" i="3"/>
  <c r="AD22" i="3" s="1"/>
  <c r="AA22" i="3"/>
  <c r="AB22" i="3" s="1"/>
  <c r="Z22" i="3"/>
  <c r="Y22" i="3"/>
  <c r="AM21" i="3"/>
  <c r="AN21" i="3" s="1"/>
  <c r="AK21" i="3"/>
  <c r="AL21" i="3" s="1"/>
  <c r="AI21" i="3"/>
  <c r="AJ21" i="3" s="1"/>
  <c r="AG21" i="3"/>
  <c r="AH21" i="3" s="1"/>
  <c r="AE21" i="3"/>
  <c r="AF21" i="3" s="1"/>
  <c r="AC21" i="3"/>
  <c r="AD21" i="3" s="1"/>
  <c r="AA21" i="3"/>
  <c r="AB21" i="3" s="1"/>
  <c r="Z21" i="3"/>
  <c r="Y21" i="3"/>
  <c r="AM20" i="3"/>
  <c r="AN20" i="3" s="1"/>
  <c r="AK20" i="3"/>
  <c r="AL20" i="3" s="1"/>
  <c r="AI20" i="3"/>
  <c r="AJ20" i="3" s="1"/>
  <c r="AG20" i="3"/>
  <c r="AH20" i="3" s="1"/>
  <c r="AE20" i="3"/>
  <c r="AF20" i="3" s="1"/>
  <c r="AC20" i="3"/>
  <c r="AD20" i="3" s="1"/>
  <c r="AA20" i="3"/>
  <c r="AB20" i="3" s="1"/>
  <c r="Z20" i="3"/>
  <c r="Y20" i="3"/>
  <c r="AM19" i="3"/>
  <c r="AN19" i="3" s="1"/>
  <c r="AK19" i="3"/>
  <c r="AL19" i="3" s="1"/>
  <c r="AI19" i="3"/>
  <c r="AJ19" i="3" s="1"/>
  <c r="AG19" i="3"/>
  <c r="AH19" i="3" s="1"/>
  <c r="AE19" i="3"/>
  <c r="AF19" i="3" s="1"/>
  <c r="AC19" i="3"/>
  <c r="AD19" i="3" s="1"/>
  <c r="AA19" i="3"/>
  <c r="AB19" i="3" s="1"/>
  <c r="Z19" i="3"/>
  <c r="Y19" i="3"/>
  <c r="AM18" i="3"/>
  <c r="AN18" i="3" s="1"/>
  <c r="AK18" i="3"/>
  <c r="AL18" i="3" s="1"/>
  <c r="AI18" i="3"/>
  <c r="AJ18" i="3" s="1"/>
  <c r="AG18" i="3"/>
  <c r="AH18" i="3" s="1"/>
  <c r="AE18" i="3"/>
  <c r="AF18" i="3" s="1"/>
  <c r="AC18" i="3"/>
  <c r="AD18" i="3" s="1"/>
  <c r="AA18" i="3"/>
  <c r="AB18" i="3" s="1"/>
  <c r="Z18" i="3"/>
  <c r="Y18" i="3"/>
  <c r="AM17" i="3"/>
  <c r="AN17" i="3" s="1"/>
  <c r="AK17" i="3"/>
  <c r="AL17" i="3" s="1"/>
  <c r="AI17" i="3"/>
  <c r="AJ17" i="3" s="1"/>
  <c r="AG17" i="3"/>
  <c r="AH17" i="3" s="1"/>
  <c r="AE17" i="3"/>
  <c r="AF17" i="3" s="1"/>
  <c r="AC17" i="3"/>
  <c r="AD17" i="3" s="1"/>
  <c r="AA17" i="3"/>
  <c r="AB17" i="3" s="1"/>
  <c r="Z17" i="3"/>
  <c r="Y17" i="3"/>
  <c r="AM16" i="3"/>
  <c r="AN16" i="3" s="1"/>
  <c r="AK16" i="3"/>
  <c r="AL16" i="3" s="1"/>
  <c r="AI16" i="3"/>
  <c r="AJ16" i="3" s="1"/>
  <c r="AG16" i="3"/>
  <c r="AH16" i="3" s="1"/>
  <c r="AE16" i="3"/>
  <c r="AF16" i="3" s="1"/>
  <c r="AC16" i="3"/>
  <c r="AD16" i="3" s="1"/>
  <c r="AA16" i="3"/>
  <c r="AB16" i="3" s="1"/>
  <c r="Z16" i="3"/>
  <c r="Y16" i="3"/>
  <c r="AM15" i="3"/>
  <c r="AN15" i="3" s="1"/>
  <c r="AK15" i="3"/>
  <c r="AL15" i="3" s="1"/>
  <c r="AI15" i="3"/>
  <c r="AJ15" i="3" s="1"/>
  <c r="AG15" i="3"/>
  <c r="AH15" i="3" s="1"/>
  <c r="AE15" i="3"/>
  <c r="AF15" i="3" s="1"/>
  <c r="AC15" i="3"/>
  <c r="AD15" i="3" s="1"/>
  <c r="AA15" i="3"/>
  <c r="AB15" i="3" s="1"/>
  <c r="Z15" i="3"/>
  <c r="Y15" i="3"/>
  <c r="AM14" i="3"/>
  <c r="AN14" i="3" s="1"/>
  <c r="AK14" i="3"/>
  <c r="AL14" i="3" s="1"/>
  <c r="AI14" i="3"/>
  <c r="AJ14" i="3" s="1"/>
  <c r="AG14" i="3"/>
  <c r="AH14" i="3" s="1"/>
  <c r="AE14" i="3"/>
  <c r="AF14" i="3" s="1"/>
  <c r="AC14" i="3"/>
  <c r="AD14" i="3" s="1"/>
  <c r="AA14" i="3"/>
  <c r="AB14" i="3" s="1"/>
  <c r="Z14" i="3"/>
  <c r="Y14" i="3"/>
  <c r="AM13" i="3"/>
  <c r="AN13" i="3" s="1"/>
  <c r="AK13" i="3"/>
  <c r="AL13" i="3" s="1"/>
  <c r="AI13" i="3"/>
  <c r="AJ13" i="3" s="1"/>
  <c r="AG13" i="3"/>
  <c r="AH13" i="3" s="1"/>
  <c r="AE13" i="3"/>
  <c r="AF13" i="3" s="1"/>
  <c r="AC13" i="3"/>
  <c r="AD13" i="3" s="1"/>
  <c r="AA13" i="3"/>
  <c r="AB13" i="3" s="1"/>
  <c r="Z13" i="3"/>
  <c r="Y13" i="3"/>
  <c r="AM12" i="3"/>
  <c r="AN12" i="3" s="1"/>
  <c r="AK12" i="3"/>
  <c r="AL12" i="3" s="1"/>
  <c r="AI12" i="3"/>
  <c r="AJ12" i="3" s="1"/>
  <c r="AG12" i="3"/>
  <c r="AH12" i="3" s="1"/>
  <c r="AE12" i="3"/>
  <c r="AF12" i="3" s="1"/>
  <c r="AC12" i="3"/>
  <c r="AD12" i="3" s="1"/>
  <c r="AA12" i="3"/>
  <c r="AB12" i="3" s="1"/>
  <c r="Z12" i="3"/>
  <c r="Y12" i="3"/>
  <c r="AM11" i="3"/>
  <c r="AN11" i="3" s="1"/>
  <c r="AK11" i="3"/>
  <c r="AL11" i="3" s="1"/>
  <c r="AI11" i="3"/>
  <c r="AJ11" i="3" s="1"/>
  <c r="AG11" i="3"/>
  <c r="AH11" i="3" s="1"/>
  <c r="AE11" i="3"/>
  <c r="AF11" i="3" s="1"/>
  <c r="AC11" i="3"/>
  <c r="AD11" i="3" s="1"/>
  <c r="AA11" i="3"/>
  <c r="AB11" i="3" s="1"/>
  <c r="Z11" i="3"/>
  <c r="Y11" i="3"/>
  <c r="AM10" i="3"/>
  <c r="AN10" i="3" s="1"/>
  <c r="AK10" i="3"/>
  <c r="AL10" i="3" s="1"/>
  <c r="AI10" i="3"/>
  <c r="AJ10" i="3" s="1"/>
  <c r="AG10" i="3"/>
  <c r="AH10" i="3" s="1"/>
  <c r="AE10" i="3"/>
  <c r="AF10" i="3" s="1"/>
  <c r="AC10" i="3"/>
  <c r="AD10" i="3" s="1"/>
  <c r="AA10" i="3"/>
  <c r="AB10" i="3" s="1"/>
  <c r="Z10" i="3"/>
  <c r="Y10" i="3"/>
  <c r="AM9" i="3"/>
  <c r="AN9" i="3" s="1"/>
  <c r="AK9" i="3"/>
  <c r="AL9" i="3" s="1"/>
  <c r="AI9" i="3"/>
  <c r="AJ9" i="3" s="1"/>
  <c r="AG9" i="3"/>
  <c r="AH9" i="3" s="1"/>
  <c r="AE9" i="3"/>
  <c r="AF9" i="3" s="1"/>
  <c r="AC9" i="3"/>
  <c r="AD9" i="3" s="1"/>
  <c r="AA9" i="3"/>
  <c r="AB9" i="3" s="1"/>
  <c r="Z9" i="3"/>
  <c r="Y9" i="3"/>
  <c r="AM8" i="3"/>
  <c r="AN8" i="3" s="1"/>
  <c r="AK8" i="3"/>
  <c r="AL8" i="3" s="1"/>
  <c r="AI8" i="3"/>
  <c r="AJ8" i="3" s="1"/>
  <c r="AG8" i="3"/>
  <c r="AH8" i="3" s="1"/>
  <c r="AE8" i="3"/>
  <c r="AF8" i="3" s="1"/>
  <c r="AC8" i="3"/>
  <c r="AD8" i="3" s="1"/>
  <c r="AA8" i="3"/>
  <c r="AB8" i="3" s="1"/>
  <c r="Z8" i="3"/>
  <c r="Y8" i="3"/>
  <c r="AM7" i="3"/>
  <c r="AN7" i="3" s="1"/>
  <c r="AK7" i="3"/>
  <c r="AL7" i="3" s="1"/>
  <c r="AI7" i="3"/>
  <c r="AJ7" i="3" s="1"/>
  <c r="AG7" i="3"/>
  <c r="AH7" i="3" s="1"/>
  <c r="AE7" i="3"/>
  <c r="AF7" i="3" s="1"/>
  <c r="AC7" i="3"/>
  <c r="AD7" i="3" s="1"/>
  <c r="AA7" i="3"/>
  <c r="AB7" i="3" s="1"/>
  <c r="Z7" i="3"/>
  <c r="Y7" i="3"/>
  <c r="AM6" i="3"/>
  <c r="AN6" i="3" s="1"/>
  <c r="AK6" i="3"/>
  <c r="AL6" i="3" s="1"/>
  <c r="AI6" i="3"/>
  <c r="AJ6" i="3" s="1"/>
  <c r="AG6" i="3"/>
  <c r="AH6" i="3" s="1"/>
  <c r="AE6" i="3"/>
  <c r="AF6" i="3" s="1"/>
  <c r="AC6" i="3"/>
  <c r="AD6" i="3" s="1"/>
  <c r="AA6" i="3"/>
  <c r="AB6" i="3" s="1"/>
  <c r="Z6" i="3"/>
  <c r="Y6" i="3"/>
  <c r="AM5" i="3"/>
  <c r="AN5" i="3" s="1"/>
  <c r="AK5" i="3"/>
  <c r="AL5" i="3" s="1"/>
  <c r="AI5" i="3"/>
  <c r="AJ5" i="3" s="1"/>
  <c r="AG5" i="3"/>
  <c r="AH5" i="3" s="1"/>
  <c r="AE5" i="3"/>
  <c r="AF5" i="3" s="1"/>
  <c r="AC5" i="3"/>
  <c r="AD5" i="3" s="1"/>
  <c r="AA5" i="3"/>
  <c r="AB5" i="3" s="1"/>
  <c r="Z5" i="3"/>
  <c r="Y5" i="3"/>
  <c r="AM4" i="3"/>
  <c r="AN4" i="3" s="1"/>
  <c r="AK4" i="3"/>
  <c r="AL4" i="3" s="1"/>
  <c r="AI4" i="3"/>
  <c r="AJ4" i="3" s="1"/>
  <c r="AG4" i="3"/>
  <c r="AH4" i="3" s="1"/>
  <c r="AE4" i="3"/>
  <c r="AF4" i="3" s="1"/>
  <c r="AC4" i="3"/>
  <c r="AD4" i="3" s="1"/>
  <c r="AA4" i="3"/>
  <c r="AB4" i="3" s="1"/>
  <c r="Z4" i="3"/>
  <c r="Y4" i="3"/>
  <c r="AM3" i="3"/>
  <c r="AN3" i="3" s="1"/>
  <c r="AK3" i="3"/>
  <c r="AL3" i="3" s="1"/>
  <c r="AI3" i="3"/>
  <c r="AJ3" i="3" s="1"/>
  <c r="AG3" i="3"/>
  <c r="AH3" i="3" s="1"/>
  <c r="AE3" i="3"/>
  <c r="AF3" i="3" s="1"/>
  <c r="AC3" i="3"/>
  <c r="AD3" i="3" s="1"/>
  <c r="AA3" i="3"/>
  <c r="AB3" i="3" s="1"/>
  <c r="Z3" i="3"/>
  <c r="Y3" i="3"/>
  <c r="U12" i="3"/>
  <c r="S12" i="3"/>
  <c r="Q12" i="3"/>
  <c r="O12" i="3"/>
  <c r="M12" i="3"/>
  <c r="K12" i="3"/>
  <c r="I12" i="3"/>
  <c r="J12" i="3" s="1"/>
  <c r="H12" i="3"/>
  <c r="G12" i="3"/>
  <c r="U11" i="3"/>
  <c r="S11" i="3"/>
  <c r="Q11" i="3"/>
  <c r="O11" i="3"/>
  <c r="M11" i="3"/>
  <c r="K11" i="3"/>
  <c r="I11" i="3"/>
  <c r="H11" i="3"/>
  <c r="G11" i="3"/>
  <c r="U10" i="3"/>
  <c r="S10" i="3"/>
  <c r="Q10" i="3"/>
  <c r="O10" i="3"/>
  <c r="M10" i="3"/>
  <c r="K10" i="3"/>
  <c r="I10" i="3"/>
  <c r="H10" i="3"/>
  <c r="G10" i="3"/>
  <c r="U9" i="3"/>
  <c r="S9" i="3"/>
  <c r="Q9" i="3"/>
  <c r="O9" i="3"/>
  <c r="M9" i="3"/>
  <c r="K9" i="3"/>
  <c r="I9" i="3"/>
  <c r="H9" i="3"/>
  <c r="G9" i="3"/>
  <c r="U8" i="3"/>
  <c r="V8" i="3" s="1"/>
  <c r="S8" i="3"/>
  <c r="Q8" i="3"/>
  <c r="O8" i="3"/>
  <c r="M8" i="3"/>
  <c r="K8" i="3"/>
  <c r="I8" i="3"/>
  <c r="H8" i="3"/>
  <c r="G8" i="3"/>
  <c r="U7" i="3"/>
  <c r="S7" i="3"/>
  <c r="T7" i="3" s="1"/>
  <c r="Q7" i="3"/>
  <c r="R7" i="3" s="1"/>
  <c r="O7" i="3"/>
  <c r="M7" i="3"/>
  <c r="K7" i="3"/>
  <c r="I7" i="3"/>
  <c r="H7" i="3"/>
  <c r="G7" i="3"/>
  <c r="U6" i="3"/>
  <c r="S6" i="3"/>
  <c r="Q6" i="3"/>
  <c r="O6" i="3"/>
  <c r="P6" i="3" s="1"/>
  <c r="M6" i="3"/>
  <c r="K6" i="3"/>
  <c r="I6" i="3"/>
  <c r="H6" i="3"/>
  <c r="G6" i="3"/>
  <c r="U5" i="3"/>
  <c r="S5" i="3"/>
  <c r="Q5" i="3"/>
  <c r="O5" i="3"/>
  <c r="M5" i="3"/>
  <c r="N5" i="3" s="1"/>
  <c r="K5" i="3"/>
  <c r="I5" i="3"/>
  <c r="H5" i="3"/>
  <c r="G5" i="3"/>
  <c r="U4" i="3"/>
  <c r="S4" i="3"/>
  <c r="Q4" i="3"/>
  <c r="O4" i="3"/>
  <c r="M4" i="3"/>
  <c r="K4" i="3"/>
  <c r="L4" i="3" s="1"/>
  <c r="I4" i="3"/>
  <c r="H4" i="3"/>
  <c r="G4" i="3"/>
  <c r="U3" i="3"/>
  <c r="S3" i="3"/>
  <c r="Q3" i="3"/>
  <c r="O3" i="3"/>
  <c r="M3" i="3"/>
  <c r="K3" i="3"/>
  <c r="I3" i="3"/>
  <c r="H3" i="3"/>
  <c r="G3" i="3"/>
  <c r="L3" i="3" l="1"/>
  <c r="R4" i="3"/>
  <c r="L6" i="3"/>
  <c r="P8" i="3"/>
  <c r="R9" i="3"/>
  <c r="T10" i="3"/>
  <c r="V11" i="3"/>
  <c r="P3" i="3"/>
  <c r="J5" i="3"/>
  <c r="N7" i="3"/>
  <c r="J4" i="3"/>
  <c r="L5" i="3"/>
  <c r="N6" i="3"/>
  <c r="P7" i="3"/>
  <c r="R8" i="3"/>
  <c r="T9" i="3"/>
  <c r="V10" i="3"/>
  <c r="T8" i="3"/>
  <c r="V9" i="3"/>
  <c r="T6" i="3"/>
  <c r="V7" i="3"/>
  <c r="J11" i="3"/>
  <c r="L12" i="3"/>
  <c r="R5" i="3"/>
  <c r="V6" i="3"/>
  <c r="J10" i="3"/>
  <c r="L11" i="3"/>
  <c r="N12" i="3"/>
  <c r="T4" i="3"/>
  <c r="J9" i="3"/>
  <c r="L10" i="3"/>
  <c r="N11" i="3"/>
  <c r="P12" i="3"/>
  <c r="N4" i="3"/>
  <c r="P4" i="3"/>
  <c r="V4" i="3"/>
  <c r="L9" i="3"/>
  <c r="N10" i="3"/>
  <c r="P11" i="3"/>
  <c r="R12" i="3"/>
  <c r="J3" i="3"/>
  <c r="R6" i="3"/>
  <c r="T5" i="3"/>
  <c r="T3" i="3"/>
  <c r="J8" i="3"/>
  <c r="V3" i="3"/>
  <c r="J7" i="3"/>
  <c r="L8" i="3"/>
  <c r="N9" i="3"/>
  <c r="P10" i="3"/>
  <c r="R11" i="3"/>
  <c r="T12" i="3"/>
  <c r="P5" i="3"/>
  <c r="N3" i="3"/>
  <c r="R3" i="3"/>
  <c r="V5" i="3"/>
  <c r="J6" i="3"/>
  <c r="L7" i="3"/>
  <c r="N8" i="3"/>
  <c r="P9" i="3"/>
  <c r="R10" i="3"/>
  <c r="T11" i="3"/>
  <c r="V12" i="3"/>
  <c r="D16" i="1" l="1"/>
  <c r="C16" i="1"/>
  <c r="D15" i="1"/>
  <c r="C15" i="1"/>
  <c r="D14" i="1"/>
  <c r="C14" i="1"/>
  <c r="C13" i="1"/>
  <c r="C12" i="1"/>
  <c r="C11" i="1"/>
  <c r="C10" i="1"/>
  <c r="C9" i="1"/>
  <c r="C8" i="1"/>
  <c r="D7" i="1"/>
  <c r="C7" i="1"/>
  <c r="D6" i="1"/>
  <c r="C6" i="1"/>
  <c r="D5" i="1"/>
  <c r="C5" i="1"/>
  <c r="D4" i="1"/>
  <c r="C4" i="1"/>
  <c r="D3" i="1"/>
  <c r="C3" i="1"/>
</calcChain>
</file>

<file path=xl/sharedStrings.xml><?xml version="1.0" encoding="utf-8"?>
<sst xmlns="http://schemas.openxmlformats.org/spreadsheetml/2006/main" count="360" uniqueCount="190">
  <si>
    <t>US Average</t>
  </si>
  <si>
    <t>Median</t>
  </si>
  <si>
    <t>CMS Region Number</t>
  </si>
  <si>
    <t>Total Census</t>
  </si>
  <si>
    <t>Providers</t>
  </si>
  <si>
    <t>Total Nurse Staff HPRD</t>
  </si>
  <si>
    <t>Rank: Total Nurse Staff HPRD</t>
  </si>
  <si>
    <t>Expected Total Nurse Staff HPRD</t>
  </si>
  <si>
    <t>Percent Deviation From Expected Nurse Staffing</t>
  </si>
  <si>
    <t>% Providers ≥ 4.1 HPRD</t>
  </si>
  <si>
    <t>% NHs ≥ 3.48 HPRD</t>
  </si>
  <si>
    <t>% NHs ≥ 0.75 Total RN</t>
  </si>
  <si>
    <t>RN Staff HPRD</t>
  </si>
  <si>
    <t>Rank: RN Staff HPRD</t>
  </si>
  <si>
    <t>% Contract</t>
  </si>
  <si>
    <t>Rank: % Contract</t>
  </si>
  <si>
    <t>State</t>
  </si>
  <si>
    <t>Staffing Category</t>
  </si>
  <si>
    <t>US Total</t>
  </si>
  <si>
    <t>Percentage of Total</t>
  </si>
  <si>
    <t>HPRD</t>
  </si>
  <si>
    <t>AK</t>
  </si>
  <si>
    <t>Total Nurse Staffing</t>
  </si>
  <si>
    <t>*</t>
  </si>
  <si>
    <t>Total Nurse Care Staff HPRD (excl. Admin/DON)</t>
  </si>
  <si>
    <t>AL</t>
  </si>
  <si>
    <t>Total Nurse Care Staff (excl. Admin/DON)</t>
  </si>
  <si>
    <t>Total RN Staff HPRD</t>
  </si>
  <si>
    <t>AR</t>
  </si>
  <si>
    <t>Total RN</t>
  </si>
  <si>
    <t>RN HPRD (excl. Admin, DON)</t>
  </si>
  <si>
    <t>AZ</t>
  </si>
  <si>
    <t>RN (excl. Admin, DON)</t>
  </si>
  <si>
    <t>% Contract Hours</t>
  </si>
  <si>
    <t>CA</t>
  </si>
  <si>
    <t>RN Admin</t>
  </si>
  <si>
    <r>
      <t xml:space="preserve">% Providers </t>
    </r>
    <r>
      <rPr>
        <b/>
        <sz val="11"/>
        <color rgb="FF000000"/>
        <rFont val="Calibri"/>
        <family val="2"/>
      </rPr>
      <t>≥</t>
    </r>
    <r>
      <rPr>
        <b/>
        <sz val="11"/>
        <color rgb="FF000000"/>
        <rFont val="Calibri"/>
        <family val="2"/>
      </rPr>
      <t xml:space="preserve"> 4.1 HPRD</t>
    </r>
  </si>
  <si>
    <t>-</t>
  </si>
  <si>
    <t>CO</t>
  </si>
  <si>
    <t>RN DON</t>
  </si>
  <si>
    <r>
      <t xml:space="preserve">% Providers </t>
    </r>
    <r>
      <rPr>
        <b/>
        <sz val="11"/>
        <color rgb="FF000000"/>
        <rFont val="Calibri"/>
        <family val="2"/>
      </rPr>
      <t>≥</t>
    </r>
    <r>
      <rPr>
        <b/>
        <sz val="11"/>
        <color rgb="FF000000"/>
        <rFont val="Calibri"/>
        <family val="2"/>
      </rPr>
      <t xml:space="preserve"> 3.48 HPRD</t>
    </r>
  </si>
  <si>
    <t>CT</t>
  </si>
  <si>
    <t>Total LPN</t>
  </si>
  <si>
    <t>% Providers ≥ 0.75 Total RN HPRD</t>
  </si>
  <si>
    <t>DC</t>
  </si>
  <si>
    <t>LPN (excl. Admin)</t>
  </si>
  <si>
    <t>% Providers ≥ 3.48 HPRD &amp; ≥ 0.75 Total RN HPRD</t>
  </si>
  <si>
    <t>DE</t>
  </si>
  <si>
    <t>LPN Admin</t>
  </si>
  <si>
    <t>FL</t>
  </si>
  <si>
    <t>Total CNA, NA TR, Med Aide/Tech</t>
  </si>
  <si>
    <t>Total Nursing Homes</t>
  </si>
  <si>
    <t>GA</t>
  </si>
  <si>
    <t>CNA</t>
  </si>
  <si>
    <t>Residents Per Nursing Home</t>
  </si>
  <si>
    <t>HI</t>
  </si>
  <si>
    <t>NA TR</t>
  </si>
  <si>
    <t>IA</t>
  </si>
  <si>
    <t>Med Aide/Tech</t>
  </si>
  <si>
    <t>Percent Deviation</t>
  </si>
  <si>
    <t>ID</t>
  </si>
  <si>
    <t>IL</t>
  </si>
  <si>
    <t>IN</t>
  </si>
  <si>
    <t>Contract Hours by Position</t>
  </si>
  <si>
    <t>Contract Hours2</t>
  </si>
  <si>
    <t>Total Hours</t>
  </si>
  <si>
    <t>KS</t>
  </si>
  <si>
    <t xml:space="preserve">RN </t>
  </si>
  <si>
    <t>KY</t>
  </si>
  <si>
    <t xml:space="preserve">RN Admin </t>
  </si>
  <si>
    <t>LA</t>
  </si>
  <si>
    <t xml:space="preserve">RN DON </t>
  </si>
  <si>
    <t>MA</t>
  </si>
  <si>
    <t xml:space="preserve">LPN </t>
  </si>
  <si>
    <t>MD</t>
  </si>
  <si>
    <t xml:space="preserve">LPN Admin </t>
  </si>
  <si>
    <t>ME</t>
  </si>
  <si>
    <t xml:space="preserve">CNA </t>
  </si>
  <si>
    <t>MI</t>
  </si>
  <si>
    <t xml:space="preserve">NA TR </t>
  </si>
  <si>
    <t>MN</t>
  </si>
  <si>
    <t xml:space="preserve">Med Aide </t>
  </si>
  <si>
    <t>MO</t>
  </si>
  <si>
    <t>Total Contract Hours</t>
  </si>
  <si>
    <t>MS</t>
  </si>
  <si>
    <t>MT</t>
  </si>
  <si>
    <t>NC</t>
  </si>
  <si>
    <t>ND</t>
  </si>
  <si>
    <t>NE</t>
  </si>
  <si>
    <t>NH</t>
  </si>
  <si>
    <t>NJ</t>
  </si>
  <si>
    <t>NM</t>
  </si>
  <si>
    <t>NV</t>
  </si>
  <si>
    <t>NY</t>
  </si>
  <si>
    <t>OH</t>
  </si>
  <si>
    <t>OK</t>
  </si>
  <si>
    <t>OR</t>
  </si>
  <si>
    <t>PA</t>
  </si>
  <si>
    <t>PR</t>
  </si>
  <si>
    <t>RI</t>
  </si>
  <si>
    <t>SC</t>
  </si>
  <si>
    <t>SD</t>
  </si>
  <si>
    <t>TN</t>
  </si>
  <si>
    <t>TX</t>
  </si>
  <si>
    <t>UT</t>
  </si>
  <si>
    <t>VA</t>
  </si>
  <si>
    <t>VT</t>
  </si>
  <si>
    <t>WA</t>
  </si>
  <si>
    <t>WI</t>
  </si>
  <si>
    <t>WV</t>
  </si>
  <si>
    <t>WY</t>
  </si>
  <si>
    <t>US Ratio</t>
  </si>
  <si>
    <t>US Total Hours</t>
  </si>
  <si>
    <t>MPRD</t>
  </si>
  <si>
    <t>NHs reporting 0</t>
  </si>
  <si>
    <t>Total Admin MPRD</t>
  </si>
  <si>
    <t>*Admin</t>
  </si>
  <si>
    <t>Total Med Director MPRD</t>
  </si>
  <si>
    <t>Medical Director</t>
  </si>
  <si>
    <t>Total Social Work</t>
  </si>
  <si>
    <t>Pharmacist</t>
  </si>
  <si>
    <t>Total OT MPRD</t>
  </si>
  <si>
    <t>Dietician</t>
  </si>
  <si>
    <t>Total PT MPRD</t>
  </si>
  <si>
    <t>Physician Assistant</t>
  </si>
  <si>
    <t>Total Activities MPRD</t>
  </si>
  <si>
    <t>Nurse Practictioner</t>
  </si>
  <si>
    <t>Descriptive Data</t>
  </si>
  <si>
    <t>Speech/Language Pathologist</t>
  </si>
  <si>
    <t>Qualified Social Work Staff</t>
  </si>
  <si>
    <t>Other Social Work Staff</t>
  </si>
  <si>
    <t>*Nursing Homes submitting invalid Admin Data</t>
  </si>
  <si>
    <t>Total Activities</t>
  </si>
  <si>
    <t>Qualified Activities Professional</t>
  </si>
  <si>
    <t>Other Activities Professional</t>
  </si>
  <si>
    <t>Combined Occupational Therapist (OT)</t>
  </si>
  <si>
    <t>OT</t>
  </si>
  <si>
    <t>OT Assistant</t>
  </si>
  <si>
    <t>OT Aide</t>
  </si>
  <si>
    <t>Combined Physical Therapist (PT)</t>
  </si>
  <si>
    <t>PT</t>
  </si>
  <si>
    <t>PT Assistant</t>
  </si>
  <si>
    <t>PT Aide</t>
  </si>
  <si>
    <t>Mental Health Service Worker</t>
  </si>
  <si>
    <t>Therapeutic Recreation Specialist</t>
  </si>
  <si>
    <t>Clinical Nurse Specialist</t>
  </si>
  <si>
    <t>Feeding Assistant</t>
  </si>
  <si>
    <t>Respiratory Therapist</t>
  </si>
  <si>
    <t>Respiratory Therapy Technician</t>
  </si>
  <si>
    <t>Other Physician</t>
  </si>
  <si>
    <t>Rank: Total Admin MPRD</t>
  </si>
  <si>
    <t>Total MedDir MPRD</t>
  </si>
  <si>
    <t>Rank: Total MedDir MPRD</t>
  </si>
  <si>
    <t>Total Social Work MPRD</t>
  </si>
  <si>
    <t>Rank: Total Social Work MPRD</t>
  </si>
  <si>
    <t>Rank: Total OT MPRD</t>
  </si>
  <si>
    <t>Rank: Total PT MPRD</t>
  </si>
  <si>
    <t>Rank: Total Activities MPRD</t>
  </si>
  <si>
    <t>Glossary</t>
  </si>
  <si>
    <t>Certified Nursing Assistant</t>
  </si>
  <si>
    <t>Hours Per Resident Day</t>
  </si>
  <si>
    <t>Minutes Per Resident Day</t>
  </si>
  <si>
    <t>LPN</t>
  </si>
  <si>
    <t>Licensed Practical Nurse</t>
  </si>
  <si>
    <t>Medication Aide</t>
  </si>
  <si>
    <t>Nurse Aide in Training</t>
  </si>
  <si>
    <t>NP</t>
  </si>
  <si>
    <t>Nurse Practitioner</t>
  </si>
  <si>
    <t>Nurse Aides</t>
  </si>
  <si>
    <t>Includes CNA, Nurse Aide in Training, Med Aide/Tech</t>
  </si>
  <si>
    <t>Occupational Therapist</t>
  </si>
  <si>
    <t>Physical Therapist</t>
  </si>
  <si>
    <t>Phsyician Assistant</t>
  </si>
  <si>
    <t>Calculations/Metrics</t>
  </si>
  <si>
    <r>
      <t xml:space="preserve">Staff hours </t>
    </r>
    <r>
      <rPr>
        <sz val="12"/>
        <color rgb="FF000000"/>
        <rFont val="Calibri"/>
        <family val="2"/>
      </rPr>
      <t>÷</t>
    </r>
    <r>
      <rPr>
        <sz val="8.4"/>
        <color rgb="FF000000"/>
        <rFont val="Calibri"/>
        <family val="2"/>
      </rPr>
      <t xml:space="preserve"> </t>
    </r>
    <r>
      <rPr>
        <sz val="12"/>
        <color rgb="FF000000"/>
        <rFont val="Calibri"/>
        <family val="2"/>
      </rPr>
      <t>Resident Census</t>
    </r>
  </si>
  <si>
    <t>Staff minutes ÷ Resident Census</t>
  </si>
  <si>
    <t>Total Nurse Staff</t>
  </si>
  <si>
    <t>RN (incl. Admin/DON) + LPN (incl. Admin) + CNA + Med Aide + NA TR</t>
  </si>
  <si>
    <t>RN + LPN + CNA + Med Aide + NA in Training</t>
  </si>
  <si>
    <t xml:space="preserve">Combined Activities </t>
  </si>
  <si>
    <t>Qualified Activities Professional + Other Activities Staff</t>
  </si>
  <si>
    <t>Total OT</t>
  </si>
  <si>
    <t>OT + OT Assistant + OT Aide</t>
  </si>
  <si>
    <t>Total PT</t>
  </si>
  <si>
    <t>PT + PT Assistant + PT Aide</t>
  </si>
  <si>
    <t>Qualified Social Worker + Other Social Worker</t>
  </si>
  <si>
    <t>Registered Nurse (incl. RN Admin, DON)</t>
  </si>
  <si>
    <t>National - Q1 2026</t>
  </si>
  <si>
    <t>Total Pharmacist MPRD</t>
  </si>
  <si>
    <t>Rank: Total Pharmacist MPRD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</si>
</sst>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0.0%"/>
    <numFmt numFmtId="165" formatCode="0.000000000000"/>
    <numFmt numFmtId="166" formatCode="#,##0.000"/>
    <numFmt numFmtId="167" formatCode="_(* #,##0_);_(* \(#,##0\);_(* &quot;-&quot;??_);_(@_)"/>
  </numFmts>
  <fonts count="19" x14ac:knownFonts="1">
    <font>
      <sz val="12"/>
      <color theme="1"/>
      <name val="Aptos Narrow"/>
      <family val="2"/>
      <scheme val="minor"/>
    </font>
    <font>
      <sz val="12"/>
      <color theme="1"/>
      <name val="Aptos Narrow"/>
      <family val="2"/>
      <scheme val="minor"/>
    </font>
    <font>
      <sz val="12"/>
      <color rgb="FF000000"/>
      <name val="Calibri"/>
      <family val="2"/>
    </font>
    <font>
      <b/>
      <sz val="18"/>
      <color rgb="FF000000"/>
      <name val="Calibri"/>
      <family val="2"/>
    </font>
    <font>
      <sz val="11"/>
      <color theme="1"/>
      <name val="Aptos Narrow"/>
      <family val="2"/>
      <scheme val="minor"/>
    </font>
    <font>
      <sz val="8.4"/>
      <color rgb="FF000000"/>
      <name val="Calibri"/>
      <family val="2"/>
    </font>
    <font>
      <b/>
      <sz val="12"/>
      <color rgb="FF000000"/>
      <name val="Calibri"/>
      <family val="2"/>
    </font>
    <font>
      <sz val="11"/>
      <color theme="1"/>
      <name val="Calibri"/>
      <family val="2"/>
    </font>
    <font>
      <sz val="11"/>
      <color rgb="FF000000"/>
      <name val="Calibri"/>
      <family val="2"/>
    </font>
    <font>
      <b/>
      <sz val="11"/>
      <color rgb="FF000000"/>
      <name val="Calibri"/>
      <family val="2"/>
    </font>
    <font>
      <b/>
      <i/>
      <sz val="12"/>
      <color rgb="FF000000"/>
      <name val="Calibri"/>
      <family val="2"/>
    </font>
    <font>
      <i/>
      <sz val="12"/>
      <color rgb="FF000000"/>
      <name val="Calibri"/>
      <family val="2"/>
    </font>
    <font>
      <b/>
      <i/>
      <sz val="11"/>
      <color rgb="FF000000"/>
      <name val="Calibri"/>
      <family val="2"/>
    </font>
    <font>
      <sz val="12"/>
      <color theme="0"/>
      <name val="Calibri"/>
      <family val="2"/>
    </font>
    <font>
      <b/>
      <sz val="12"/>
      <color theme="0"/>
      <name val="Calibri"/>
      <family val="2"/>
    </font>
    <font>
      <sz val="11"/>
      <color theme="0"/>
      <name val="Calibri"/>
      <family val="2"/>
    </font>
    <font>
      <i/>
      <sz val="12"/>
      <color theme="0"/>
      <name val="Calibri"/>
      <family val="2"/>
    </font>
    <font>
      <b/>
      <sz val="12"/>
      <color rgb="FFFFFFFF"/>
      <name val="Calibri"/>
      <family val="2"/>
    </font>
    <font>
      <b/>
      <i/>
      <sz val="12"/>
      <color rgb="FFFFFFFF"/>
      <name val="Calibri"/>
      <family val="2"/>
    </font>
  </fonts>
  <fills count="9">
    <fill>
      <patternFill patternType="none"/>
    </fill>
    <fill>
      <patternFill patternType="gray125"/>
    </fill>
    <fill>
      <patternFill patternType="solid">
        <fgColor rgb="FFD9E1F2"/>
        <bgColor rgb="FF000000"/>
      </patternFill>
    </fill>
    <fill>
      <patternFill patternType="solid">
        <fgColor rgb="FF8EA9DB"/>
        <bgColor rgb="FF000000"/>
      </patternFill>
    </fill>
    <fill>
      <patternFill patternType="solid">
        <fgColor rgb="FFD9D9D9"/>
        <bgColor rgb="FFD9D9D9"/>
      </patternFill>
    </fill>
    <fill>
      <patternFill patternType="solid">
        <fgColor rgb="FF000000"/>
        <bgColor rgb="FF000000"/>
      </patternFill>
    </fill>
    <fill>
      <patternFill patternType="solid">
        <fgColor rgb="FFDCE6F1"/>
        <bgColor rgb="FF000000"/>
      </patternFill>
    </fill>
    <fill>
      <patternFill patternType="solid">
        <fgColor rgb="FFF79646"/>
        <bgColor rgb="FFF79646"/>
      </patternFill>
    </fill>
    <fill>
      <patternFill patternType="solid">
        <fgColor rgb="FFFFC000"/>
        <bgColor rgb="FF000000"/>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top style="medium">
        <color rgb="FF000000"/>
      </top>
      <bottom style="medium">
        <color rgb="FF000000"/>
      </bottom>
      <diagonal/>
    </border>
    <border>
      <left/>
      <right style="thin">
        <color rgb="FF000000"/>
      </right>
      <top/>
      <bottom/>
      <diagonal/>
    </border>
    <border>
      <left/>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xf numFmtId="43" fontId="1" fillId="0" borderId="0" applyFont="0" applyFill="0" applyBorder="0" applyAlignment="0" applyProtection="0"/>
  </cellStyleXfs>
  <cellXfs count="112">
    <xf numFmtId="0" fontId="0" fillId="0" borderId="0" xfId="0"/>
    <xf numFmtId="0" fontId="2" fillId="0" borderId="0" xfId="0" applyFont="1"/>
    <xf numFmtId="0" fontId="3" fillId="2" borderId="1" xfId="0" applyFont="1" applyFill="1" applyBorder="1"/>
    <xf numFmtId="0" fontId="2" fillId="2" borderId="2" xfId="0" applyFont="1" applyFill="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0" xfId="2" applyFont="1" applyAlignment="1">
      <alignment horizontal="left" vertical="top" wrapText="1"/>
    </xf>
    <xf numFmtId="0" fontId="2" fillId="0" borderId="7" xfId="0" applyFont="1" applyBorder="1"/>
    <xf numFmtId="0" fontId="2" fillId="0" borderId="8" xfId="0" applyFont="1" applyBorder="1"/>
    <xf numFmtId="0" fontId="2" fillId="0" borderId="9" xfId="0" applyFont="1" applyBorder="1"/>
    <xf numFmtId="0" fontId="9" fillId="0" borderId="6" xfId="2" applyFont="1" applyBorder="1" applyAlignment="1">
      <alignment vertical="top" wrapText="1"/>
    </xf>
    <xf numFmtId="2" fontId="8" fillId="0" borderId="7" xfId="2" applyNumberFormat="1" applyFont="1" applyBorder="1" applyAlignment="1">
      <alignment vertical="top"/>
    </xf>
    <xf numFmtId="2" fontId="8" fillId="0" borderId="10" xfId="2" applyNumberFormat="1" applyFont="1" applyBorder="1" applyAlignment="1">
      <alignment vertical="top"/>
    </xf>
    <xf numFmtId="2" fontId="8" fillId="0" borderId="0" xfId="2" applyNumberFormat="1" applyFont="1" applyAlignment="1">
      <alignment vertical="top"/>
    </xf>
    <xf numFmtId="3" fontId="2" fillId="0" borderId="0" xfId="0" applyNumberFormat="1" applyFont="1"/>
    <xf numFmtId="4" fontId="2" fillId="0" borderId="0" xfId="0" applyNumberFormat="1" applyFont="1"/>
    <xf numFmtId="0" fontId="9" fillId="0" borderId="11" xfId="2" applyFont="1" applyBorder="1" applyAlignment="1">
      <alignment vertical="top" wrapText="1"/>
    </xf>
    <xf numFmtId="2" fontId="8" fillId="0" borderId="8" xfId="2" applyNumberFormat="1" applyFont="1" applyBorder="1" applyAlignment="1">
      <alignment vertical="top"/>
    </xf>
    <xf numFmtId="0" fontId="2" fillId="0" borderId="0" xfId="0" applyFont="1" applyAlignment="1">
      <alignment vertical="top" wrapText="1"/>
    </xf>
    <xf numFmtId="0" fontId="9" fillId="0" borderId="12" xfId="2" applyFont="1" applyBorder="1" applyAlignment="1">
      <alignment vertical="top" wrapText="1"/>
    </xf>
    <xf numFmtId="2" fontId="8" fillId="0" borderId="13" xfId="2" applyNumberFormat="1" applyFont="1" applyBorder="1" applyAlignment="1">
      <alignment vertical="top"/>
    </xf>
    <xf numFmtId="0" fontId="7" fillId="0" borderId="0" xfId="0" applyFont="1"/>
    <xf numFmtId="2" fontId="8" fillId="0" borderId="14" xfId="1" applyNumberFormat="1" applyFont="1" applyFill="1" applyBorder="1" applyAlignment="1">
      <alignment vertical="top"/>
    </xf>
    <xf numFmtId="0" fontId="6" fillId="0" borderId="2" xfId="0" applyFont="1" applyBorder="1"/>
    <xf numFmtId="2" fontId="8" fillId="0" borderId="13" xfId="1" applyNumberFormat="1" applyFont="1" applyFill="1" applyBorder="1" applyAlignment="1">
      <alignment vertical="top"/>
    </xf>
    <xf numFmtId="0" fontId="10" fillId="0" borderId="0" xfId="0" applyFont="1" applyAlignment="1">
      <alignment horizontal="center"/>
    </xf>
    <xf numFmtId="2" fontId="8" fillId="0" borderId="12" xfId="2" applyNumberFormat="1" applyFont="1" applyBorder="1" applyAlignment="1">
      <alignment vertical="top"/>
    </xf>
    <xf numFmtId="2" fontId="8" fillId="0" borderId="12" xfId="1" applyNumberFormat="1" applyFont="1" applyFill="1" applyBorder="1" applyAlignment="1">
      <alignment vertical="top"/>
    </xf>
    <xf numFmtId="0" fontId="9" fillId="0" borderId="0" xfId="0" applyFont="1"/>
    <xf numFmtId="3" fontId="8" fillId="0" borderId="0" xfId="2" applyNumberFormat="1" applyFont="1" applyAlignment="1">
      <alignment vertical="top"/>
    </xf>
    <xf numFmtId="0" fontId="9" fillId="0" borderId="0" xfId="2" applyFont="1" applyAlignment="1">
      <alignment vertical="top" wrapText="1"/>
    </xf>
    <xf numFmtId="0" fontId="11" fillId="0" borderId="0" xfId="0" applyFont="1"/>
    <xf numFmtId="1" fontId="8" fillId="0" borderId="0" xfId="2" applyNumberFormat="1" applyFont="1" applyAlignment="1">
      <alignment vertical="top"/>
    </xf>
    <xf numFmtId="3" fontId="7" fillId="0" borderId="0" xfId="0" applyNumberFormat="1" applyFont="1"/>
    <xf numFmtId="1" fontId="2" fillId="0" borderId="0" xfId="0" applyNumberFormat="1" applyFont="1"/>
    <xf numFmtId="4" fontId="2" fillId="0" borderId="0" xfId="0" applyNumberFormat="1" applyFont="1" applyAlignment="1">
      <alignment wrapText="1"/>
    </xf>
    <xf numFmtId="164" fontId="2" fillId="0" borderId="0" xfId="1" applyNumberFormat="1" applyFont="1" applyFill="1" applyBorder="1"/>
    <xf numFmtId="2" fontId="2" fillId="0" borderId="0" xfId="0" applyNumberFormat="1" applyFont="1"/>
    <xf numFmtId="164" fontId="2" fillId="0" borderId="0" xfId="1" applyNumberFormat="1" applyFont="1" applyFill="1" applyBorder="1" applyAlignment="1">
      <alignment wrapText="1"/>
    </xf>
    <xf numFmtId="3" fontId="6" fillId="0" borderId="0" xfId="0" applyNumberFormat="1" applyFont="1"/>
    <xf numFmtId="10" fontId="2" fillId="0" borderId="0" xfId="0" applyNumberFormat="1" applyFont="1"/>
    <xf numFmtId="0" fontId="8" fillId="0" borderId="11" xfId="2" applyFont="1" applyBorder="1" applyAlignment="1">
      <alignment vertical="top" wrapText="1"/>
    </xf>
    <xf numFmtId="2" fontId="8" fillId="0" borderId="3" xfId="2" applyNumberFormat="1" applyFont="1" applyBorder="1" applyAlignment="1">
      <alignment vertical="top"/>
    </xf>
    <xf numFmtId="3" fontId="11" fillId="0" borderId="0" xfId="0" applyNumberFormat="1" applyFont="1"/>
    <xf numFmtId="0" fontId="9" fillId="0" borderId="2" xfId="0" applyFont="1" applyBorder="1" applyAlignment="1">
      <alignment wrapText="1"/>
    </xf>
    <xf numFmtId="164" fontId="8" fillId="0" borderId="1" xfId="1" applyNumberFormat="1" applyFont="1" applyFill="1" applyBorder="1" applyAlignment="1">
      <alignment vertical="top"/>
    </xf>
    <xf numFmtId="0" fontId="9" fillId="0" borderId="6" xfId="0" applyFont="1" applyBorder="1" applyAlignment="1">
      <alignment wrapText="1"/>
    </xf>
    <xf numFmtId="164" fontId="8" fillId="0" borderId="7" xfId="1" applyNumberFormat="1" applyFont="1" applyFill="1" applyBorder="1" applyAlignment="1">
      <alignment vertical="top"/>
    </xf>
    <xf numFmtId="164" fontId="8" fillId="0" borderId="5" xfId="1" applyNumberFormat="1" applyFont="1" applyFill="1" applyBorder="1" applyAlignment="1">
      <alignment vertical="top"/>
    </xf>
    <xf numFmtId="0" fontId="9" fillId="0" borderId="6" xfId="0" applyFont="1" applyBorder="1"/>
    <xf numFmtId="3" fontId="8" fillId="0" borderId="7" xfId="2" applyNumberFormat="1" applyFont="1" applyBorder="1" applyAlignment="1">
      <alignment vertical="top"/>
    </xf>
    <xf numFmtId="165" fontId="2" fillId="0" borderId="0" xfId="0" applyNumberFormat="1" applyFont="1"/>
    <xf numFmtId="2" fontId="7" fillId="0" borderId="0" xfId="0" applyNumberFormat="1" applyFont="1"/>
    <xf numFmtId="166" fontId="2" fillId="0" borderId="0" xfId="0" applyNumberFormat="1" applyFont="1"/>
    <xf numFmtId="0" fontId="12" fillId="0" borderId="6" xfId="0" applyFont="1" applyBorder="1"/>
    <xf numFmtId="3" fontId="11" fillId="0" borderId="16" xfId="0" applyNumberFormat="1" applyFont="1" applyBorder="1"/>
    <xf numFmtId="164" fontId="7" fillId="0" borderId="0" xfId="1" applyNumberFormat="1" applyFont="1" applyFill="1" applyBorder="1"/>
    <xf numFmtId="0" fontId="6" fillId="0" borderId="0" xfId="0" applyFont="1"/>
    <xf numFmtId="164" fontId="6" fillId="0" borderId="0" xfId="1" applyNumberFormat="1" applyFont="1" applyFill="1" applyBorder="1"/>
    <xf numFmtId="0" fontId="13" fillId="0" borderId="0" xfId="0" applyFont="1"/>
    <xf numFmtId="0" fontId="13" fillId="0" borderId="0" xfId="0" applyFont="1" applyAlignment="1">
      <alignment wrapText="1"/>
    </xf>
    <xf numFmtId="2" fontId="14" fillId="3" borderId="0" xfId="0" applyNumberFormat="1" applyFont="1" applyFill="1" applyAlignment="1">
      <alignment horizontal="left" wrapText="1"/>
    </xf>
    <xf numFmtId="0" fontId="15" fillId="0" borderId="0" xfId="0" applyFont="1" applyAlignment="1">
      <alignment horizontal="left" wrapText="1"/>
    </xf>
    <xf numFmtId="0" fontId="13" fillId="0" borderId="0" xfId="0" applyFont="1" applyAlignment="1">
      <alignment horizontal="left" wrapText="1"/>
    </xf>
    <xf numFmtId="0" fontId="16" fillId="0" borderId="0" xfId="0" applyFont="1" applyAlignment="1">
      <alignment horizontal="left" wrapText="1"/>
    </xf>
    <xf numFmtId="1" fontId="13" fillId="0" borderId="0" xfId="0" applyNumberFormat="1" applyFont="1" applyAlignment="1">
      <alignment horizontal="left" wrapText="1"/>
    </xf>
    <xf numFmtId="2" fontId="8" fillId="0" borderId="14" xfId="2" applyNumberFormat="1" applyFont="1" applyBorder="1" applyAlignment="1">
      <alignment vertical="top"/>
    </xf>
    <xf numFmtId="2" fontId="8" fillId="0" borderId="23" xfId="2" applyNumberFormat="1" applyFont="1" applyBorder="1" applyAlignment="1">
      <alignment vertical="top"/>
    </xf>
    <xf numFmtId="167" fontId="8" fillId="0" borderId="0" xfId="3" applyNumberFormat="1" applyFont="1" applyFill="1" applyBorder="1" applyAlignment="1">
      <alignment vertical="top"/>
    </xf>
    <xf numFmtId="43" fontId="8" fillId="0" borderId="0" xfId="3" applyFont="1" applyFill="1" applyBorder="1" applyAlignment="1">
      <alignment vertical="top"/>
    </xf>
    <xf numFmtId="0" fontId="2" fillId="0" borderId="18" xfId="0" applyFont="1" applyFill="1" applyBorder="1"/>
    <xf numFmtId="0" fontId="17" fillId="5" borderId="20" xfId="0" applyFont="1" applyFill="1" applyBorder="1"/>
    <xf numFmtId="0" fontId="17" fillId="5" borderId="21" xfId="0" applyFont="1" applyFill="1" applyBorder="1"/>
    <xf numFmtId="0" fontId="17" fillId="5" borderId="21" xfId="0" applyFont="1" applyFill="1" applyBorder="1" applyAlignment="1">
      <alignment wrapText="1"/>
    </xf>
    <xf numFmtId="0" fontId="17" fillId="5" borderId="22" xfId="0" applyFont="1" applyFill="1" applyBorder="1" applyAlignment="1">
      <alignment wrapText="1"/>
    </xf>
    <xf numFmtId="3" fontId="2" fillId="4" borderId="20" xfId="0" applyNumberFormat="1" applyFont="1" applyFill="1" applyBorder="1"/>
    <xf numFmtId="3" fontId="2" fillId="4" borderId="21" xfId="0" applyNumberFormat="1" applyFont="1" applyFill="1" applyBorder="1"/>
    <xf numFmtId="4" fontId="2" fillId="4" borderId="21" xfId="0" applyNumberFormat="1" applyFont="1" applyFill="1" applyBorder="1"/>
    <xf numFmtId="3" fontId="2" fillId="4" borderId="22" xfId="0" applyNumberFormat="1" applyFont="1" applyFill="1" applyBorder="1"/>
    <xf numFmtId="3" fontId="2" fillId="0" borderId="20" xfId="0" applyNumberFormat="1" applyFont="1" applyBorder="1"/>
    <xf numFmtId="3" fontId="2" fillId="0" borderId="21" xfId="0" applyNumberFormat="1" applyFont="1" applyBorder="1"/>
    <xf numFmtId="4" fontId="2" fillId="0" borderId="21" xfId="0" applyNumberFormat="1" applyFont="1" applyBorder="1"/>
    <xf numFmtId="3" fontId="2" fillId="0" borderId="22" xfId="0" applyNumberFormat="1" applyFont="1" applyBorder="1" applyAlignment="1">
      <alignment vertical="top" wrapText="1"/>
    </xf>
    <xf numFmtId="3" fontId="2" fillId="4" borderId="22" xfId="0" applyNumberFormat="1" applyFont="1" applyFill="1" applyBorder="1" applyAlignment="1">
      <alignment vertical="top" wrapText="1"/>
    </xf>
    <xf numFmtId="3" fontId="6" fillId="6" borderId="20" xfId="0" applyNumberFormat="1" applyFont="1" applyFill="1" applyBorder="1" applyAlignment="1">
      <alignment horizontal="center"/>
    </xf>
    <xf numFmtId="3" fontId="6" fillId="6" borderId="21" xfId="0" applyNumberFormat="1" applyFont="1" applyFill="1" applyBorder="1"/>
    <xf numFmtId="4" fontId="6" fillId="6" borderId="21" xfId="0" applyNumberFormat="1" applyFont="1" applyFill="1" applyBorder="1"/>
    <xf numFmtId="3" fontId="6" fillId="6" borderId="22" xfId="0" applyNumberFormat="1" applyFont="1" applyFill="1" applyBorder="1" applyAlignment="1">
      <alignment vertical="top" wrapText="1"/>
    </xf>
    <xf numFmtId="3" fontId="6" fillId="6" borderId="22" xfId="0" applyNumberFormat="1" applyFont="1" applyFill="1" applyBorder="1"/>
    <xf numFmtId="3" fontId="2" fillId="0" borderId="22" xfId="0" applyNumberFormat="1" applyFont="1" applyBorder="1"/>
    <xf numFmtId="3" fontId="2" fillId="4" borderId="15" xfId="0" applyNumberFormat="1" applyFont="1" applyFill="1" applyBorder="1"/>
    <xf numFmtId="3" fontId="2" fillId="4" borderId="21" xfId="1" applyNumberFormat="1" applyFont="1" applyFill="1" applyBorder="1"/>
    <xf numFmtId="3" fontId="6" fillId="6" borderId="21" xfId="1" applyNumberFormat="1" applyFont="1" applyFill="1" applyBorder="1"/>
    <xf numFmtId="3" fontId="2" fillId="0" borderId="21" xfId="1" applyNumberFormat="1" applyFont="1" applyFill="1" applyBorder="1"/>
    <xf numFmtId="0" fontId="2" fillId="0" borderId="0" xfId="0" applyFont="1" applyAlignment="1">
      <alignment horizontal="left" wrapText="1"/>
    </xf>
    <xf numFmtId="0" fontId="11" fillId="0" borderId="0" xfId="0" applyFont="1" applyAlignment="1">
      <alignment horizontal="left" wrapText="1"/>
    </xf>
    <xf numFmtId="0" fontId="17" fillId="7" borderId="17" xfId="0" applyFont="1" applyFill="1" applyBorder="1" applyAlignment="1">
      <alignment horizontal="left" wrapText="1"/>
    </xf>
    <xf numFmtId="0" fontId="18" fillId="7" borderId="17" xfId="0" applyFont="1" applyFill="1" applyBorder="1" applyAlignment="1">
      <alignment horizontal="left" wrapText="1"/>
    </xf>
    <xf numFmtId="0" fontId="2" fillId="4" borderId="0" xfId="0" applyFont="1" applyFill="1"/>
    <xf numFmtId="3" fontId="2" fillId="4" borderId="0" xfId="0" applyNumberFormat="1" applyFont="1" applyFill="1"/>
    <xf numFmtId="4" fontId="2" fillId="4" borderId="0" xfId="0" applyNumberFormat="1" applyFont="1" applyFill="1"/>
    <xf numFmtId="0" fontId="2" fillId="0" borderId="19" xfId="0" applyFont="1" applyBorder="1"/>
    <xf numFmtId="3" fontId="2" fillId="0" borderId="19" xfId="0" applyNumberFormat="1" applyFont="1" applyBorder="1"/>
    <xf numFmtId="4" fontId="2" fillId="0" borderId="19" xfId="0" applyNumberFormat="1" applyFont="1" applyBorder="1"/>
    <xf numFmtId="0" fontId="17" fillId="8" borderId="17" xfId="0" applyFont="1" applyFill="1" applyBorder="1" applyAlignment="1">
      <alignment horizontal="left" wrapText="1"/>
    </xf>
    <xf numFmtId="0" fontId="18" fillId="8" borderId="17" xfId="0" applyFont="1" applyFill="1" applyBorder="1" applyAlignment="1">
      <alignment horizontal="left" wrapText="1"/>
    </xf>
    <xf numFmtId="0" fontId="7" fillId="4" borderId="0" xfId="0" applyFont="1" applyFill="1"/>
    <xf numFmtId="1" fontId="2" fillId="4" borderId="0" xfId="0" applyNumberFormat="1" applyFont="1" applyFill="1"/>
    <xf numFmtId="0" fontId="7" fillId="0" borderId="19" xfId="0" applyFont="1" applyBorder="1"/>
    <xf numFmtId="1" fontId="2" fillId="0" borderId="19" xfId="0" applyNumberFormat="1" applyFont="1" applyBorder="1"/>
  </cellXfs>
  <cellStyles count="4">
    <cellStyle name="Comma" xfId="3" builtinId="3"/>
    <cellStyle name="Normal" xfId="0" builtinId="0"/>
    <cellStyle name="Normal 2 2" xfId="2" xr:uid="{8DD18A7A-75E2-7E4A-AD99-0D28257A182D}"/>
    <cellStyle name="Percent" xfId="1" builtinId="5"/>
  </cellStyles>
  <dxfs count="211">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rgb="FF000000"/>
        <name val="Calibri"/>
        <family val="2"/>
        <scheme val="none"/>
      </font>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horizontal style="thin">
          <color rgb="FF000000"/>
        </horizontal>
      </border>
    </dxf>
    <dxf>
      <font>
        <b val="0"/>
        <i val="0"/>
        <strike val="0"/>
        <condense val="0"/>
        <extend val="0"/>
        <outline val="0"/>
        <shadow val="0"/>
        <u val="none"/>
        <vertAlign val="baseline"/>
        <sz val="12"/>
        <color rgb="FF000000"/>
        <name val="Calibri"/>
        <family val="2"/>
        <scheme val="none"/>
      </font>
      <numFmt numFmtId="1"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rgb="FF000000"/>
        <name val="Calibri"/>
        <family val="2"/>
        <scheme val="none"/>
      </font>
      <fill>
        <patternFill patternType="solid">
          <fgColor rgb="FF000000"/>
          <bgColor rgb="FFFFC000"/>
        </patternFill>
      </fill>
      <alignment horizontal="left" vertical="bottom" textRotation="0" wrapText="1" indent="0" justifyLastLine="0" shrinkToFit="0" readingOrder="0"/>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8064A2"/>
          <bgColor rgb="FF8064A2"/>
        </patternFill>
      </fill>
    </dxf>
    <dxf>
      <font>
        <b/>
        <color rgb="FFFFFFFF"/>
      </font>
      <fill>
        <patternFill patternType="solid">
          <fgColor rgb="FF8064A2"/>
          <bgColor rgb="FF8064A2"/>
        </patternFill>
      </fill>
    </dxf>
    <dxf>
      <border>
        <top style="double">
          <color rgb="FF000000"/>
        </top>
      </border>
    </dxf>
    <dxf>
      <font>
        <b/>
        <color rgb="FFFFFFFF"/>
      </font>
      <fill>
        <patternFill patternType="solid">
          <fgColor rgb="FF8064A2"/>
          <bgColor rgb="FF8064A2"/>
        </patternFill>
      </fill>
      <border>
        <bottom style="medium">
          <color rgb="FF000000"/>
        </bottom>
      </border>
    </dxf>
    <dxf>
      <font>
        <color rgb="FF000000"/>
      </font>
      <border>
        <top style="medium">
          <color rgb="FF000000"/>
        </top>
        <bottom style="medium">
          <color rgb="FF000000"/>
        </bottom>
      </border>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rgb="FF000000"/>
        <name val="Calibri"/>
        <family val="2"/>
        <scheme val="none"/>
      </font>
      <alignment horizontal="left" vertical="bottom" textRotation="0" wrapText="1" indent="0" justifyLastLine="0" shrinkToFit="0" readingOrder="0"/>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F79646"/>
          <bgColor rgb="FFF79646"/>
        </patternFill>
      </fill>
    </dxf>
    <dxf>
      <font>
        <b/>
        <color rgb="FFFFFFFF"/>
      </font>
      <fill>
        <patternFill patternType="solid">
          <fgColor rgb="FFF79646"/>
          <bgColor rgb="FFF79646"/>
        </patternFill>
      </fill>
    </dxf>
    <dxf>
      <border>
        <top style="double">
          <color rgb="FF000000"/>
        </top>
      </border>
    </dxf>
    <dxf>
      <font>
        <b/>
        <color rgb="FFFFFFFF"/>
      </font>
      <fill>
        <patternFill patternType="solid">
          <fgColor rgb="FFF79646"/>
          <bgColor rgb="FFF79646"/>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F79646"/>
          <bgColor rgb="FFF79646"/>
        </patternFill>
      </fill>
    </dxf>
    <dxf>
      <font>
        <b/>
        <color rgb="FFFFFFFF"/>
      </font>
      <fill>
        <patternFill patternType="solid">
          <fgColor rgb="FFF79646"/>
          <bgColor rgb="FFF79646"/>
        </patternFill>
      </fill>
    </dxf>
    <dxf>
      <border>
        <top style="double">
          <color rgb="FF000000"/>
        </top>
      </border>
    </dxf>
    <dxf>
      <font>
        <b/>
        <color rgb="FFFFFFFF"/>
      </font>
      <fill>
        <patternFill patternType="solid">
          <fgColor rgb="FFF79646"/>
          <bgColor rgb="FFF79646"/>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horizontal style="thin">
          <color rgb="FF000000"/>
        </horizontal>
      </border>
    </dxf>
    <dxf>
      <font>
        <strike val="0"/>
        <outline val="0"/>
        <shadow val="0"/>
        <u val="none"/>
        <vertAlign val="baseline"/>
        <sz val="12"/>
        <color rgb="FF000000"/>
        <name val="Calibri"/>
        <family val="2"/>
        <scheme val="none"/>
      </font>
      <numFmt numFmtId="3" formatCode="#,##0"/>
    </dxf>
    <dxf>
      <font>
        <strike val="0"/>
        <outline val="0"/>
        <shadow val="0"/>
        <u val="none"/>
        <vertAlign val="baseline"/>
        <sz val="12"/>
        <color rgb="FF000000"/>
        <name val="Calibri"/>
        <family val="2"/>
        <scheme val="none"/>
      </font>
      <numFmt numFmtId="3" formatCode="#,##0"/>
    </dxf>
    <dxf>
      <font>
        <strike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1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rgb="FF000000"/>
        <name val="Calibri"/>
        <family val="2"/>
        <scheme val="none"/>
      </font>
      <numFmt numFmtId="1" formatCode="0"/>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1" formatCode="0"/>
    </dxf>
    <dxf>
      <font>
        <b val="0"/>
        <i val="0"/>
        <strike val="0"/>
        <condense val="0"/>
        <extend val="0"/>
        <outline val="0"/>
        <shadow val="0"/>
        <u val="none"/>
        <vertAlign val="baseline"/>
        <sz val="12"/>
        <color rgb="FF000000"/>
        <name val="Calibri"/>
        <family val="2"/>
        <scheme val="none"/>
      </font>
      <numFmt numFmtId="2" formatCode="0.00"/>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2" formatCode="0.00"/>
    </dxf>
    <dxf>
      <font>
        <b val="0"/>
        <i val="0"/>
        <strike val="0"/>
        <condense val="0"/>
        <extend val="0"/>
        <outline val="0"/>
        <shadow val="0"/>
        <u val="none"/>
        <vertAlign val="baseline"/>
        <sz val="12"/>
        <color rgb="FF000000"/>
        <name val="Calibri"/>
        <family val="2"/>
        <scheme val="none"/>
      </font>
      <numFmt numFmtId="1"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2" formatCode="0.00"/>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rgb="FF000000"/>
        <name val="Calibri"/>
        <family val="2"/>
        <scheme val="none"/>
      </font>
      <numFmt numFmtId="4" formatCode="#,##0.00"/>
      <alignment horizontal="general" vertical="bottom"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4" formatCode="#,##0.0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rgb="FF000000"/>
        <name val="Calibri"/>
        <family val="2"/>
        <scheme val="none"/>
      </font>
    </dxf>
    <dxf>
      <font>
        <b val="0"/>
        <i val="0"/>
        <strike val="0"/>
        <condense val="0"/>
        <extend val="0"/>
        <outline val="0"/>
        <shadow val="0"/>
        <u val="none"/>
        <vertAlign val="baseline"/>
        <sz val="12"/>
        <color theme="0"/>
        <name val="Calibri"/>
        <family val="2"/>
        <scheme val="none"/>
      </font>
      <alignment horizontal="left" vertical="bottom" textRotation="0" wrapText="1" indent="0" justifyLastLine="0" shrinkToFit="0" readingOrder="0"/>
    </dxf>
    <dxf>
      <fill>
        <patternFill patternType="none">
          <fgColor rgb="FF000000"/>
          <bgColor auto="1"/>
        </patternFill>
      </fill>
    </dxf>
    <dxf>
      <font>
        <b val="0"/>
        <i val="0"/>
        <strike val="0"/>
        <condense val="0"/>
        <extend val="0"/>
        <outline val="0"/>
        <shadow val="0"/>
        <u val="none"/>
        <vertAlign val="baseline"/>
        <sz val="11"/>
        <color rgb="FF000000"/>
        <name val="Calibri"/>
        <family val="2"/>
        <scheme val="none"/>
      </font>
      <numFmt numFmtId="2" formatCode="0.00"/>
      <fill>
        <patternFill patternType="none">
          <fgColor rgb="FF000000"/>
          <bgColor auto="1"/>
        </patternFill>
      </fill>
      <alignment horizontal="general" vertical="top" textRotation="0" wrapText="0" indent="0" justifyLastLine="0" shrinkToFit="0" readingOrder="0"/>
      <border diagonalUp="0" diagonalDown="0">
        <left style="thin">
          <color rgb="FF000000"/>
        </left>
        <right/>
        <top/>
        <bottom/>
      </border>
    </dxf>
    <dxf>
      <fill>
        <patternFill patternType="none">
          <fgColor rgb="FF000000"/>
          <bgColor auto="1"/>
        </patternFill>
      </fill>
      <border diagonalUp="0" diagonalDown="0">
        <left/>
        <right style="thin">
          <color rgb="FF000000"/>
        </right>
        <top/>
        <bottom/>
        <vertical/>
        <horizontal/>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dxf>
    <dxf>
      <font>
        <b/>
        <i val="0"/>
        <strike val="0"/>
        <condense val="0"/>
        <extend val="0"/>
        <outline val="0"/>
        <shadow val="0"/>
        <u val="none"/>
        <vertAlign val="baseline"/>
        <sz val="12"/>
        <color theme="0"/>
        <name val="Calibri"/>
        <family val="2"/>
        <scheme val="none"/>
      </font>
      <numFmt numFmtId="2" formatCode="0.00"/>
      <fill>
        <patternFill patternType="solid">
          <fgColor rgb="FF000000"/>
          <bgColor rgb="FF8EA9DB"/>
        </patternFill>
      </fill>
      <alignment horizontal="left" vertical="bottom" textRotation="0" wrapText="1" indent="0" justifyLastLine="0" shrinkToFit="0" readingOrder="0"/>
    </dxf>
    <dxf>
      <fill>
        <patternFill patternType="none">
          <fgColor rgb="FF000000"/>
          <bgColor auto="1"/>
        </patternFill>
      </fill>
    </dxf>
    <dxf>
      <font>
        <b val="0"/>
        <i val="0"/>
        <strike val="0"/>
        <condense val="0"/>
        <extend val="0"/>
        <outline val="0"/>
        <shadow val="0"/>
        <u val="none"/>
        <vertAlign val="baseline"/>
        <sz val="11"/>
        <color rgb="FF000000"/>
        <name val="Calibri"/>
        <family val="2"/>
        <scheme val="none"/>
      </font>
      <numFmt numFmtId="2" formatCode="0.00"/>
      <fill>
        <patternFill patternType="none">
          <fgColor rgb="FF000000"/>
          <bgColor auto="1"/>
        </patternFill>
      </fill>
      <alignment horizontal="general" vertical="top" textRotation="0" wrapText="0" indent="0" justifyLastLine="0" shrinkToFit="0" readingOrder="0"/>
      <border diagonalUp="0" diagonalDown="0">
        <left style="thin">
          <color rgb="FF000000"/>
        </left>
        <right/>
        <top/>
        <bottom/>
      </border>
    </dxf>
    <dxf>
      <fill>
        <patternFill patternType="none">
          <fgColor rgb="FF000000"/>
          <bgColor auto="1"/>
        </patternFill>
      </fill>
      <border diagonalUp="0" diagonalDown="0">
        <left/>
        <right style="thin">
          <color rgb="FF000000"/>
        </right>
        <top/>
        <bottom/>
        <vertical/>
        <horizontal/>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dxf>
    <dxf>
      <font>
        <b/>
        <i val="0"/>
        <strike val="0"/>
        <condense val="0"/>
        <extend val="0"/>
        <outline val="0"/>
        <shadow val="0"/>
        <u val="none"/>
        <vertAlign val="baseline"/>
        <sz val="12"/>
        <color theme="0"/>
        <name val="Calibri"/>
        <family val="2"/>
        <scheme val="none"/>
      </font>
      <numFmt numFmtId="2" formatCode="0.00"/>
      <fill>
        <patternFill patternType="solid">
          <fgColor rgb="FF000000"/>
          <bgColor rgb="FF8EA9DB"/>
        </patternFill>
      </fill>
      <alignment horizontal="left" vertical="bottom" textRotation="0" wrapText="1" indent="0" justifyLastLine="0" shrinkToFit="0" readingOrder="0"/>
    </dxf>
    <dxf>
      <font>
        <strike val="0"/>
        <outline val="0"/>
        <shadow val="0"/>
        <u val="none"/>
        <vertAlign val="baseline"/>
        <sz val="12"/>
        <color rgb="FF000000"/>
        <name val="Calibri"/>
        <family val="2"/>
        <scheme val="none"/>
      </font>
    </dxf>
    <dxf>
      <font>
        <strike val="0"/>
        <outline val="0"/>
        <shadow val="0"/>
        <u val="none"/>
        <vertAlign val="baseline"/>
        <sz val="12"/>
        <color rgb="FF000000"/>
        <name val="Calibri"/>
        <family val="2"/>
        <scheme val="none"/>
      </font>
    </dxf>
    <dxf>
      <font>
        <b val="0"/>
        <i val="0"/>
        <strike val="0"/>
        <condense val="0"/>
        <extend val="0"/>
        <outline val="0"/>
        <shadow val="0"/>
        <u val="none"/>
        <vertAlign val="baseline"/>
        <sz val="12"/>
        <color theme="0"/>
        <name val="Calibri"/>
        <family val="2"/>
        <scheme val="none"/>
      </font>
    </dxf>
    <dxf>
      <font>
        <b val="0"/>
        <i val="0"/>
        <strike val="0"/>
        <condense val="0"/>
        <extend val="0"/>
        <outline val="0"/>
        <shadow val="0"/>
        <u val="none"/>
        <vertAlign val="baseline"/>
        <sz val="12"/>
        <color rgb="FF000000"/>
        <name val="Calibri"/>
        <family val="2"/>
        <scheme val="none"/>
      </font>
      <numFmt numFmtId="3" formatCode="#,##0"/>
    </dxf>
    <dxf>
      <font>
        <strike val="0"/>
        <outline val="0"/>
        <shadow val="0"/>
        <u val="none"/>
        <vertAlign val="baseline"/>
        <sz val="12"/>
        <color rgb="FF000000"/>
        <name val="Calibri"/>
        <family val="2"/>
        <scheme val="none"/>
      </font>
      <numFmt numFmtId="3" formatCode="#,##0"/>
    </dxf>
    <dxf>
      <font>
        <b val="0"/>
        <i val="0"/>
        <strike val="0"/>
        <condense val="0"/>
        <extend val="0"/>
        <outline val="0"/>
        <shadow val="0"/>
        <u val="none"/>
        <vertAlign val="baseline"/>
        <sz val="12"/>
        <color theme="0"/>
        <name val="Calibri"/>
        <family val="2"/>
        <scheme val="none"/>
      </font>
    </dxf>
    <dxf>
      <font>
        <b val="0"/>
        <i val="0"/>
        <strike val="0"/>
        <condense val="0"/>
        <extend val="0"/>
        <outline val="0"/>
        <shadow val="0"/>
        <u val="none"/>
        <vertAlign val="baseline"/>
        <sz val="12"/>
        <color theme="0"/>
        <name val="Calibri"/>
        <family val="2"/>
        <scheme val="none"/>
      </font>
      <alignment horizontal="left" vertical="bottom" textRotation="0" wrapText="1" indent="0" justifyLastLine="0" shrinkToFit="0" readingOrder="0"/>
    </dxf>
    <dxf>
      <fill>
        <patternFill patternType="none">
          <fgColor rgb="FF000000"/>
          <bgColor auto="1"/>
        </patternFill>
      </fill>
    </dxf>
    <dxf>
      <font>
        <b val="0"/>
        <i val="0"/>
        <strike val="0"/>
        <condense val="0"/>
        <extend val="0"/>
        <outline val="0"/>
        <shadow val="0"/>
        <u val="none"/>
        <vertAlign val="baseline"/>
        <sz val="11"/>
        <color rgb="FF000000"/>
        <name val="Calibri"/>
        <family val="2"/>
        <scheme val="none"/>
      </font>
      <numFmt numFmtId="2" formatCode="0.00"/>
      <fill>
        <patternFill patternType="none">
          <fgColor rgb="FF000000"/>
          <bgColor auto="1"/>
        </patternFill>
      </fill>
      <alignment horizontal="general" vertical="top" textRotation="0" wrapText="0" indent="0" justifyLastLine="0" shrinkToFit="0" readingOrder="0"/>
      <border diagonalUp="0" diagonalDown="0">
        <left style="thin">
          <color rgb="FF000000"/>
        </left>
        <right/>
        <top/>
        <bottom/>
      </border>
    </dxf>
    <dxf>
      <fill>
        <patternFill patternType="none">
          <fgColor rgb="FF000000"/>
          <bgColor auto="1"/>
        </patternFill>
      </fill>
      <border diagonalUp="0" diagonalDown="0">
        <left/>
        <right style="thin">
          <color rgb="FF000000"/>
        </right>
        <top/>
        <bottom/>
        <vertical/>
        <horizontal/>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dxf>
    <dxf>
      <font>
        <b/>
        <i val="0"/>
        <strike val="0"/>
        <condense val="0"/>
        <extend val="0"/>
        <outline val="0"/>
        <shadow val="0"/>
        <u val="none"/>
        <vertAlign val="baseline"/>
        <sz val="12"/>
        <color theme="0"/>
        <name val="Calibri"/>
        <family val="2"/>
        <scheme val="none"/>
      </font>
      <numFmt numFmtId="2" formatCode="0.00"/>
      <fill>
        <patternFill patternType="solid">
          <fgColor rgb="FF000000"/>
          <bgColor rgb="FF8EA9DB"/>
        </patternFill>
      </fill>
      <alignment horizontal="left" vertical="bottom" textRotation="0" wrapText="1" indent="0" justifyLastLine="0" shrinkToFit="0" readingOrder="0"/>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border>
        <top style="double">
          <color rgb="FF000000"/>
        </top>
      </border>
    </dxf>
    <dxf>
      <font>
        <b/>
        <color rgb="FFFFFFFF"/>
      </font>
      <fill>
        <patternFill patternType="solid">
          <fgColor rgb="FFFFC000"/>
          <bgColor rgb="FFFFC000"/>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border>
        <top style="double">
          <color rgb="FF000000"/>
        </top>
      </border>
    </dxf>
    <dxf>
      <font>
        <b/>
        <color rgb="FFFFFFFF"/>
      </font>
      <fill>
        <patternFill patternType="solid">
          <fgColor rgb="FFFFC000"/>
          <bgColor rgb="FFFFC000"/>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ED7D31"/>
          <bgColor rgb="FFED7D31"/>
        </patternFill>
      </fill>
    </dxf>
    <dxf>
      <font>
        <b/>
        <color rgb="FFFFFFFF"/>
      </font>
      <fill>
        <patternFill patternType="solid">
          <fgColor rgb="FFED7D31"/>
          <bgColor rgb="FFED7D31"/>
        </patternFill>
      </fill>
    </dxf>
    <dxf>
      <border>
        <top style="double">
          <color rgb="FF000000"/>
        </top>
      </border>
    </dxf>
    <dxf>
      <font>
        <b/>
        <color rgb="FFFFFFFF"/>
      </font>
      <fill>
        <patternFill patternType="solid">
          <fgColor rgb="FFED7D31"/>
          <bgColor rgb="FFED7D31"/>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ED7D31"/>
          <bgColor rgb="FFED7D31"/>
        </patternFill>
      </fill>
    </dxf>
    <dxf>
      <font>
        <b/>
        <color rgb="FFFFFFFF"/>
      </font>
      <fill>
        <patternFill patternType="solid">
          <fgColor rgb="FFED7D31"/>
          <bgColor rgb="FFED7D31"/>
        </patternFill>
      </fill>
    </dxf>
    <dxf>
      <border>
        <top style="double">
          <color rgb="FF000000"/>
        </top>
      </border>
    </dxf>
    <dxf>
      <font>
        <b/>
        <color rgb="FFFFFFFF"/>
      </font>
      <fill>
        <patternFill patternType="solid">
          <fgColor rgb="FFED7D31"/>
          <bgColor rgb="FFED7D31"/>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4472C4"/>
          <bgColor rgb="FF4472C4"/>
        </patternFill>
      </fill>
    </dxf>
    <dxf>
      <font>
        <b/>
        <color rgb="FFFFFFFF"/>
      </font>
      <fill>
        <patternFill patternType="solid">
          <fgColor rgb="FF4472C4"/>
          <bgColor rgb="FF4472C4"/>
        </patternFill>
      </fill>
    </dxf>
    <dxf>
      <border>
        <top style="double">
          <color rgb="FF000000"/>
        </top>
      </border>
    </dxf>
    <dxf>
      <font>
        <b/>
        <color rgb="FFFFFFFF"/>
      </font>
      <fill>
        <patternFill patternType="solid">
          <fgColor rgb="FF4472C4"/>
          <bgColor rgb="FF4472C4"/>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4472C4"/>
          <bgColor rgb="FF4472C4"/>
        </patternFill>
      </fill>
    </dxf>
    <dxf>
      <font>
        <b/>
        <color rgb="FFFFFFFF"/>
      </font>
      <fill>
        <patternFill patternType="solid">
          <fgColor rgb="FF4472C4"/>
          <bgColor rgb="FF4472C4"/>
        </patternFill>
      </fill>
    </dxf>
    <dxf>
      <border>
        <top style="double">
          <color rgb="FF000000"/>
        </top>
      </border>
    </dxf>
    <dxf>
      <font>
        <b/>
        <color rgb="FFFFFFFF"/>
      </font>
      <fill>
        <patternFill patternType="solid">
          <fgColor rgb="FF4472C4"/>
          <bgColor rgb="FF4472C4"/>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4472C4"/>
          <bgColor rgb="FF4472C4"/>
        </patternFill>
      </fill>
    </dxf>
    <dxf>
      <font>
        <b/>
        <color rgb="FFFFFFFF"/>
      </font>
      <fill>
        <patternFill patternType="solid">
          <fgColor rgb="FF4472C4"/>
          <bgColor rgb="FF4472C4"/>
        </patternFill>
      </fill>
    </dxf>
    <dxf>
      <border>
        <top style="double">
          <color rgb="FF000000"/>
        </top>
      </border>
    </dxf>
    <dxf>
      <font>
        <b/>
        <color rgb="FFFFFFFF"/>
      </font>
      <fill>
        <patternFill patternType="solid">
          <fgColor rgb="FF4472C4"/>
          <bgColor rgb="FF4472C4"/>
        </patternFill>
      </fill>
      <border>
        <bottom style="medium">
          <color rgb="FF000000"/>
        </bottom>
      </border>
    </dxf>
    <dxf>
      <font>
        <color rgb="FF000000"/>
      </font>
      <border>
        <top style="medium">
          <color rgb="FF000000"/>
        </top>
        <bottom style="medium">
          <color rgb="FF000000"/>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horizontal style="thin">
          <color rgb="FF000000"/>
        </horizontal>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horizontal style="thin">
          <color rgb="FF000000"/>
        </horizontal>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horizontal style="thin">
          <color rgb="FF000000"/>
        </horizontal>
      </border>
    </dxf>
  </dxfs>
  <tableStyles count="15" defaultTableStyle="TableStyleMedium2" defaultPivotStyle="PivotStyleLight16">
    <tableStyle name="TableStyleMedium1 2" pivot="0" count="7" xr9:uid="{B786F500-AE90-D04A-A311-C4F09B8C1470}">
      <tableStyleElement type="wholeTable" dxfId="210"/>
      <tableStyleElement type="headerRow" dxfId="209"/>
      <tableStyleElement type="totalRow" dxfId="208"/>
      <tableStyleElement type="firstColumn" dxfId="207"/>
      <tableStyleElement type="lastColumn" dxfId="206"/>
      <tableStyleElement type="firstRowStripe" dxfId="205"/>
      <tableStyleElement type="firstColumnStripe" dxfId="204"/>
    </tableStyle>
    <tableStyle name="TableStyleMedium1 3" pivot="0" count="7" xr9:uid="{448C20B6-BC23-FB40-BC79-83C6BB9A7853}">
      <tableStyleElement type="wholeTable" dxfId="203"/>
      <tableStyleElement type="headerRow" dxfId="202"/>
      <tableStyleElement type="totalRow" dxfId="201"/>
      <tableStyleElement type="firstColumn" dxfId="200"/>
      <tableStyleElement type="lastColumn" dxfId="199"/>
      <tableStyleElement type="firstRowStripe" dxfId="198"/>
      <tableStyleElement type="firstColumnStripe" dxfId="197"/>
    </tableStyle>
    <tableStyle name="TableStyleMedium1 4" pivot="0" count="7" xr9:uid="{B2E4EF2B-6B36-5A49-9DC5-EF917B60CA5D}">
      <tableStyleElement type="wholeTable" dxfId="196"/>
      <tableStyleElement type="headerRow" dxfId="195"/>
      <tableStyleElement type="totalRow" dxfId="194"/>
      <tableStyleElement type="firstColumn" dxfId="193"/>
      <tableStyleElement type="lastColumn" dxfId="192"/>
      <tableStyleElement type="firstRowStripe" dxfId="191"/>
      <tableStyleElement type="firstColumnStripe" dxfId="190"/>
    </tableStyle>
    <tableStyle name="TableStyleMedium1 5" pivot="0" count="7" xr9:uid="{A88B5C61-285E-9745-B94F-8F8379B82A19}">
      <tableStyleElement type="wholeTable" dxfId="78"/>
      <tableStyleElement type="headerRow" dxfId="77"/>
      <tableStyleElement type="totalRow" dxfId="76"/>
      <tableStyleElement type="firstColumn" dxfId="75"/>
      <tableStyleElement type="lastColumn" dxfId="74"/>
      <tableStyleElement type="firstRowStripe" dxfId="73"/>
      <tableStyleElement type="firstColumnStripe" dxfId="72"/>
    </tableStyle>
    <tableStyle name="TableStyleMedium1 6" pivot="0" count="7" xr9:uid="{7BCF524F-C945-9842-A499-C13BB7EE6DB6}">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 name="TableStyleMedium16 2" pivot="0" count="7" xr9:uid="{5D88FDC1-2C40-4E4A-AECA-03968BD3A7F0}">
      <tableStyleElement type="wholeTable" dxfId="189"/>
      <tableStyleElement type="headerRow" dxfId="188"/>
      <tableStyleElement type="totalRow" dxfId="187"/>
      <tableStyleElement type="firstColumn" dxfId="186"/>
      <tableStyleElement type="lastColumn" dxfId="185"/>
      <tableStyleElement type="firstRowStripe" dxfId="184"/>
      <tableStyleElement type="firstColumnStripe" dxfId="183"/>
    </tableStyle>
    <tableStyle name="TableStyleMedium16 3" pivot="0" count="7" xr9:uid="{AE6DCF8F-E7F7-5E49-A0BA-F8C0F4A9560A}">
      <tableStyleElement type="wholeTable" dxfId="182"/>
      <tableStyleElement type="headerRow" dxfId="181"/>
      <tableStyleElement type="totalRow" dxfId="180"/>
      <tableStyleElement type="firstColumn" dxfId="179"/>
      <tableStyleElement type="lastColumn" dxfId="178"/>
      <tableStyleElement type="firstRowStripe" dxfId="177"/>
      <tableStyleElement type="firstColumnStripe" dxfId="176"/>
    </tableStyle>
    <tableStyle name="TableStyleMedium16 4" pivot="0" count="7" xr9:uid="{C6540B76-BF8F-2646-9CBE-177D2E2E0C16}">
      <tableStyleElement type="wholeTable" dxfId="175"/>
      <tableStyleElement type="headerRow" dxfId="174"/>
      <tableStyleElement type="totalRow" dxfId="173"/>
      <tableStyleElement type="firstColumn" dxfId="172"/>
      <tableStyleElement type="lastColumn" dxfId="171"/>
      <tableStyleElement type="firstRowStripe" dxfId="170"/>
      <tableStyleElement type="firstColumnStripe" dxfId="169"/>
    </tableStyle>
    <tableStyle name="TableStyleMedium17 2" pivot="0" count="7" xr9:uid="{F57504F4-2CF5-7D45-91C7-DFC5E83945E5}">
      <tableStyleElement type="wholeTable" dxfId="168"/>
      <tableStyleElement type="headerRow" dxfId="167"/>
      <tableStyleElement type="totalRow" dxfId="166"/>
      <tableStyleElement type="firstColumn" dxfId="165"/>
      <tableStyleElement type="lastColumn" dxfId="164"/>
      <tableStyleElement type="firstRowStripe" dxfId="163"/>
      <tableStyleElement type="firstColumnStripe" dxfId="162"/>
    </tableStyle>
    <tableStyle name="TableStyleMedium17 3" pivot="0" count="7" xr9:uid="{4E331F47-5B50-114F-A431-EDEBF2A3DA85}">
      <tableStyleElement type="wholeTable" dxfId="161"/>
      <tableStyleElement type="headerRow" dxfId="160"/>
      <tableStyleElement type="totalRow" dxfId="159"/>
      <tableStyleElement type="firstColumn" dxfId="158"/>
      <tableStyleElement type="lastColumn" dxfId="157"/>
      <tableStyleElement type="firstRowStripe" dxfId="156"/>
      <tableStyleElement type="firstColumnStripe" dxfId="155"/>
    </tableStyle>
    <tableStyle name="TableStyleMedium19 2" pivot="0" count="7" xr9:uid="{E620DA12-7C51-D24F-84B6-D584C6B98BD5}">
      <tableStyleElement type="wholeTable" dxfId="154"/>
      <tableStyleElement type="headerRow" dxfId="153"/>
      <tableStyleElement type="totalRow" dxfId="152"/>
      <tableStyleElement type="firstColumn" dxfId="151"/>
      <tableStyleElement type="lastColumn" dxfId="150"/>
      <tableStyleElement type="firstRowStripe" dxfId="149"/>
      <tableStyleElement type="firstColumnStripe" dxfId="148"/>
    </tableStyle>
    <tableStyle name="TableStyleMedium19 3" pivot="0" count="7" xr9:uid="{77320370-4F92-984B-A932-F8BA4F80BE93}">
      <tableStyleElement type="wholeTable" dxfId="147"/>
      <tableStyleElement type="headerRow" dxfId="146"/>
      <tableStyleElement type="totalRow" dxfId="145"/>
      <tableStyleElement type="firstColumn" dxfId="144"/>
      <tableStyleElement type="lastColumn" dxfId="143"/>
      <tableStyleElement type="firstRowStripe" dxfId="142"/>
      <tableStyleElement type="firstColumnStripe" dxfId="141"/>
    </tableStyle>
    <tableStyle name="TableStyleMedium19 4" pivot="0" count="7" xr9:uid="{E2736DCC-247E-2444-8332-0BF84AF26FA5}">
      <tableStyleElement type="wholeTable" dxfId="38"/>
      <tableStyleElement type="headerRow" dxfId="37"/>
      <tableStyleElement type="totalRow" dxfId="36"/>
      <tableStyleElement type="firstColumn" dxfId="35"/>
      <tableStyleElement type="lastColumn" dxfId="34"/>
      <tableStyleElement type="firstRowStripe" dxfId="33"/>
      <tableStyleElement type="firstColumnStripe" dxfId="32"/>
    </tableStyle>
    <tableStyle name="TableStyleMedium21 2" pivot="0" count="7" xr9:uid="{BA8F386E-0DF5-C54C-88FE-5A3E49FF236C}">
      <tableStyleElement type="wholeTable" dxfId="71"/>
      <tableStyleElement type="headerRow" dxfId="70"/>
      <tableStyleElement type="totalRow" dxfId="69"/>
      <tableStyleElement type="firstColumn" dxfId="68"/>
      <tableStyleElement type="lastColumn" dxfId="67"/>
      <tableStyleElement type="firstRowStripe" dxfId="66"/>
      <tableStyleElement type="firstColumnStripe" dxfId="65"/>
    </tableStyle>
    <tableStyle name="TableStyleMedium21 3" pivot="0" count="7" xr9:uid="{DACDD547-BDAE-1549-8553-3AED0C73E5DF}">
      <tableStyleElement type="wholeTable" dxfId="64"/>
      <tableStyleElement type="headerRow" dxfId="63"/>
      <tableStyleElement type="totalRow" dxfId="62"/>
      <tableStyleElement type="firstColumn" dxfId="61"/>
      <tableStyleElement type="lastColumn" dxfId="60"/>
      <tableStyleElement type="firstRowStripe" dxfId="59"/>
      <tableStyleElement type="firstColumnStripe" dxfId="5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20</xdr:row>
      <xdr:rowOff>0</xdr:rowOff>
    </xdr:from>
    <xdr:to>
      <xdr:col>4</xdr:col>
      <xdr:colOff>1162686</xdr:colOff>
      <xdr:row>60</xdr:row>
      <xdr:rowOff>140813</xdr:rowOff>
    </xdr:to>
    <xdr:sp macro="" textlink="">
      <xdr:nvSpPr>
        <xdr:cNvPr id="4" name="TextBox 3">
          <a:extLst>
            <a:ext uri="{FF2B5EF4-FFF2-40B4-BE49-F238E27FC236}">
              <a16:creationId xmlns:a16="http://schemas.microsoft.com/office/drawing/2014/main" id="{93A512ED-365C-FB4C-953A-96A2C1E469D0}"/>
            </a:ext>
          </a:extLst>
        </xdr:cNvPr>
        <xdr:cNvSpPr txBox="1"/>
      </xdr:nvSpPr>
      <xdr:spPr>
        <a:xfrm>
          <a:off x="0" y="4851400"/>
          <a:ext cx="7715886" cy="7824313"/>
        </a:xfrm>
        <a:prstGeom prst="rect">
          <a:avLst/>
        </a:prstGeom>
        <a:solidFill>
          <a:srgbClr val="8064A2">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sysClr val="windowText" lastClr="000000"/>
              </a:solidFill>
              <a:effectLst/>
              <a:uLnTx/>
              <a:uFillTx/>
              <a:latin typeface="Calibri"/>
              <a:ea typeface="+mn-ea"/>
              <a:cs typeface="+mn-cs"/>
            </a:rPr>
            <a:t>Data Notes</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What is staff HPRD?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HPRD (Hours Per Resident Day) is a staffing metric calculated by dividing a nursing home's daily staff hours by its MDS census. For example, a nursing home averaging 300 total nurse staff hours and 100 residents per day would have a 3.0 Total Nurse Staff HPRD (300/100 = 3.0).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MPRD</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is Minutes Per Resident Day.</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prstClr val="black"/>
              </a:solidFill>
              <a:effectLst/>
              <a:uLnTx/>
              <a:uFillTx/>
              <a:latin typeface="Calibri"/>
              <a:ea typeface="+mn-ea"/>
              <a:cs typeface="+mn-cs"/>
            </a:rPr>
            <a:t>What staff are included in "Total Nurse Staff"?</a:t>
          </a:r>
          <a:r>
            <a:rPr kumimoji="0" lang="en-US" sz="1100" b="0" i="0" u="none" strike="noStrike" kern="0" cap="none" spc="0" normalizeH="0" baseline="0" noProof="0">
              <a:ln>
                <a:noFill/>
              </a:ln>
              <a:solidFill>
                <a:prstClr val="black"/>
              </a:solidFill>
              <a:effectLst/>
              <a:uLnTx/>
              <a:uFillTx/>
              <a:latin typeface="Calibri"/>
              <a:ea typeface="+mn-ea"/>
              <a:cs typeface="+mn-cs"/>
            </a:rPr>
            <a:t> Total Nurse Staff combines hours from RNs (incl. Admin and DON), LPNs (incl. Admin), CNAs, Med Aide/Tech, and NA in Training (NA TR). Total RN Staff includes RN Admin &amp; RN DON.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a:ea typeface="+mn-ea"/>
              <a:cs typeface="+mn-cs"/>
            </a:rPr>
            <a:t>What staff are included in "Total Nurse Care Staff (excl. Admin/DON)"?</a:t>
          </a:r>
          <a:r>
            <a:rPr kumimoji="0" lang="en-US" sz="1100" b="0" i="0" u="none" strike="noStrike" kern="0" cap="none" spc="0" normalizeH="0" baseline="0" noProof="0">
              <a:ln>
                <a:noFill/>
              </a:ln>
              <a:solidFill>
                <a:prstClr val="black"/>
              </a:solidFill>
              <a:effectLst/>
              <a:uLnTx/>
              <a:uFillTx/>
              <a:latin typeface="Calibri"/>
              <a:ea typeface="+mn-ea"/>
              <a:cs typeface="+mn-cs"/>
            </a:rPr>
            <a:t> Total Nurse Care Staff combines hours from RNs, LPNs, and nurse aides (CNAs, Med Aide/Tech, and NA in Training) that are directly involved in resident care while excluding Admin &amp; DON. Total RN Care Staff excludes RN Admin &amp; RN DON.</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prstClr val="black"/>
              </a:solidFill>
              <a:effectLst/>
              <a:uLnTx/>
              <a:uFillTx/>
              <a:latin typeface="Calibri"/>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Note:</a:t>
          </a:r>
          <a:r>
            <a:rPr kumimoji="0" lang="en-US" sz="1100" b="1" i="1" u="none" strike="noStrike" kern="0" cap="none" spc="0" normalizeH="0" baseline="0" noProof="0">
              <a:ln>
                <a:noFill/>
              </a:ln>
              <a:solidFill>
                <a:srgbClr val="5B9BD5">
                  <a:lumMod val="75000"/>
                </a:srgbClr>
              </a:solidFill>
              <a:effectLst/>
              <a:uLnTx/>
              <a:uFillTx/>
              <a:latin typeface="Calibri"/>
              <a:ea typeface="+mn-ea"/>
              <a:cs typeface="+mn-cs"/>
            </a:rPr>
            <a:t> </a:t>
          </a: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Starting in Q1 2021, LTCCC’s reporting of federal staffing data was modified in two important ways. </a:t>
          </a:r>
          <a:b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1) Highlighting “Total Nurse Staff HPRD,” a more expansive metric that includes all PBJ nurse staffing categories; and 2) Expanding “Total Direct Care Staff HPRD” to include Med Aide/Tech and NA TR. Med Aide/Tech and NA TR were not included in previous LTCCC staffing reports.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Calculating state and national averages:</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State and national staffing (Total and RN) HPRD were determined by dividing a given sample's aggregate of facility staffing hours by its aggregate of facility MDS census, thus accounting for variations in facility size. LTCCC staffing reports prior to Q3 2019 used different methodology by averaging all facility HPRDs in a sample (without adjusting for facility size) to determine state and national staffing averages. See "National/State average calculation" box on left for more info.</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More on Payroll-Based Journal (PBJ) staffing data. (1)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Facility staff averages are determined based on PBJ reporting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(2)</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Not all facilities are in compliance with the staff reporting requirement. This may affect averages at the facility, state, and national level.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(3)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The list includes Transitional Care Units and pediatric nursing homes, which generally have significantly higher staffing than a typical nursing home. This, too, will impact state and national averages.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 Regions: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CMS's 10 regional locations serve different states and territories in the United States. For more information on CMS's regional offices, visit https://www.cms.gov/Medicare/Coding/ICD10/CMS-Regional-Offices.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For LTCCC's full Q1 2026 staffing report, visit https://nursinghome411.org/staffing-Q1-2026/.</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600" b="1" i="0" u="none" strike="noStrike" kern="0" cap="none" spc="0" normalizeH="0" baseline="0" noProof="0">
              <a:ln>
                <a:noFill/>
              </a:ln>
              <a:solidFill>
                <a:sysClr val="windowText" lastClr="000000"/>
              </a:solidFill>
              <a:effectLst/>
              <a:uLnTx/>
              <a:uFillTx/>
              <a:latin typeface="Calibri"/>
              <a:ea typeface="+mn-ea"/>
              <a:cs typeface="+mn-cs"/>
            </a:rPr>
            <a:t>Sources</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PBJ Daily Nurse Staffing Data:</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https://data.cms.gov/quality-of-care/payroll-based-journal-daily-nurse-staffing</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PBJ Daily Non-Nurse Staffing Data:</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https://data.cms.gov/quality-of-care/payroll-based-journal-daily-non-nurse-staffing</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Information on payroll-based staff reporting requirements</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https://www.cms.gov/Medicare/Quality-Initiatives-Patient-Assessment-Instruments/NursingHomeQualityInits/Staffing-Data-Submission-PBJ</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CMS's PBJ Data Dictionary (Nurse):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https://data.cms.gov/resources/payroll-based-journal-daily-nurse-staffing-data-dictionary</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CMS's PBJ Data Dictionary (Non-Nurse):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https://data.cms.gov/resources/payroll-based-journal-daily-non-nurse-staffing-data-dictionary</a:t>
          </a:r>
        </a:p>
      </xdr:txBody>
    </xdr:sp>
    <xdr:clientData/>
  </xdr:twoCellAnchor>
  <xdr:twoCellAnchor>
    <xdr:from>
      <xdr:col>7</xdr:col>
      <xdr:colOff>0</xdr:colOff>
      <xdr:row>19</xdr:row>
      <xdr:rowOff>0</xdr:rowOff>
    </xdr:from>
    <xdr:to>
      <xdr:col>16</xdr:col>
      <xdr:colOff>378260</xdr:colOff>
      <xdr:row>40</xdr:row>
      <xdr:rowOff>63500</xdr:rowOff>
    </xdr:to>
    <xdr:sp macro="" textlink="">
      <xdr:nvSpPr>
        <xdr:cNvPr id="5" name="TextBox 4">
          <a:extLst>
            <a:ext uri="{FF2B5EF4-FFF2-40B4-BE49-F238E27FC236}">
              <a16:creationId xmlns:a16="http://schemas.microsoft.com/office/drawing/2014/main" id="{707792FB-7CFA-5D46-96C7-AA09B82E3651}"/>
            </a:ext>
            <a:ext uri="{147F2762-F138-4A5C-976F-8EAC2B608ADB}">
              <a16:predDERef xmlns:a16="http://schemas.microsoft.com/office/drawing/2014/main" pred="{BA7ADAF7-8EE1-4CCC-B84B-0DA35C676E82}"/>
            </a:ext>
          </a:extLst>
        </xdr:cNvPr>
        <xdr:cNvSpPr txBox="1"/>
      </xdr:nvSpPr>
      <xdr:spPr>
        <a:xfrm>
          <a:off x="9766300" y="4660900"/>
          <a:ext cx="7363260" cy="4064000"/>
        </a:xfrm>
        <a:prstGeom prst="rect">
          <a:avLst/>
        </a:prstGeom>
        <a:solidFill>
          <a:srgbClr val="EEECE1"/>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Calibri"/>
              <a:ea typeface="+mn-ea"/>
              <a:cs typeface="+mn-cs"/>
            </a:rPr>
            <a:t>Notes on Expected Staffing Metric</a:t>
          </a:r>
          <a:endParaRPr kumimoji="0" lang="en-US" sz="1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0" i="0" u="none" strike="noStrike" kern="0" cap="none" spc="0" normalizeH="0" baseline="0" noProof="0">
              <a:ln>
                <a:noFill/>
              </a:ln>
              <a:solidFill>
                <a:sysClr val="windowText" lastClr="000000"/>
              </a:solidFill>
              <a:effectLst/>
              <a:uLnTx/>
              <a:uFillTx/>
              <a:latin typeface="Calibri"/>
              <a:ea typeface="+mn-ea"/>
              <a:cs typeface="+mn-cs"/>
            </a:rPr>
            <a:t>Starting in Q3 2024, LTCCC’s staffing reports incorporate </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Expected Staffing Ratios</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calculated using each facility’s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 Nursing Case-Mix Index (CMI)</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These expected values reflect the staffing needed based on resident acuity, as identified by the facility. The methodology was developed by experts and reported on in the </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Journal of the American Geriatrics Society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article, “Nursing Home Guide to Adjusting Nurse Staffing for Resident Case-Mix."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Visit </a:t>
          </a:r>
          <a:r>
            <a:rPr kumimoji="0" lang="en-US" sz="1100" b="0" i="0" u="sng" strike="noStrike" kern="0" cap="none" spc="0" normalizeH="0" baseline="0" noProof="0">
              <a:ln>
                <a:noFill/>
              </a:ln>
              <a:solidFill>
                <a:sysClr val="windowText" lastClr="000000"/>
              </a:solidFill>
              <a:effectLst/>
              <a:uLnTx/>
              <a:uFillTx/>
              <a:latin typeface="Calibri"/>
              <a:ea typeface="+mn-ea"/>
              <a:cs typeface="+mn-cs"/>
              <a:hlinkClick xmlns:r="http://schemas.openxmlformats.org/officeDocument/2006/relationships" r:id=""/>
            </a:rPr>
            <a:t>https://nursinghome411.org/nurse-rating-methodology/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for a summary of the methodology. The article is available at </a:t>
          </a:r>
          <a:r>
            <a:rPr kumimoji="0" lang="en-US" sz="1100" b="0" i="0" u="none" strike="noStrike" kern="0" cap="none" spc="0" normalizeH="0" baseline="0" noProof="0">
              <a:ln>
                <a:noFill/>
              </a:ln>
              <a:solidFill>
                <a:sysClr val="windowText" lastClr="000000"/>
              </a:solidFill>
              <a:effectLst/>
              <a:uLnTx/>
              <a:uFillTx/>
              <a:latin typeface="Calibri"/>
              <a:ea typeface="+mn-ea"/>
              <a:cs typeface="+mn-cs"/>
              <a:hlinkClick xmlns:r="http://schemas.openxmlformats.org/officeDocument/2006/relationships" r:id=""/>
            </a:rPr>
            <a:t>https://doi.org/10.1111/jgs.19501</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Expected </a:t>
          </a:r>
          <a:r>
            <a:rPr kumimoji="0" lang="en-US" sz="1100" b="1" i="1" u="none" strike="noStrike" kern="0" cap="none" spc="0" normalizeH="0" baseline="0" noProof="0">
              <a:ln>
                <a:noFill/>
              </a:ln>
              <a:solidFill>
                <a:sysClr val="windowText" lastClr="000000"/>
              </a:solidFill>
              <a:effectLst/>
              <a:uLnTx/>
              <a:uFillTx/>
              <a:latin typeface="Calibri"/>
              <a:ea typeface="+mn-ea"/>
              <a:cs typeface="+mn-cs"/>
            </a:rPr>
            <a:t>Total Nurse Staff</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 includes all reported licensed nursing and nurse aide hours.</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1" u="none" strike="noStrike" kern="0" cap="none" spc="0" normalizeH="0" baseline="0" noProof="0">
              <a:ln>
                <a:noFill/>
              </a:ln>
              <a:solidFill>
                <a:sysClr val="windowText" lastClr="000000"/>
              </a:solidFill>
              <a:effectLst/>
              <a:uLnTx/>
              <a:uFillTx/>
              <a:latin typeface="Calibri"/>
              <a:ea typeface="+mn-ea"/>
              <a:cs typeface="+mn-cs"/>
            </a:rPr>
            <a:t>Expected Total RN</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 includes RN, RN Admin, and DON.</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1" u="none" strike="noStrike" kern="0" cap="none" spc="0" normalizeH="0" baseline="0" noProof="0">
              <a:ln>
                <a:noFill/>
              </a:ln>
              <a:solidFill>
                <a:sysClr val="windowText" lastClr="000000"/>
              </a:solidFill>
              <a:effectLst/>
              <a:uLnTx/>
              <a:uFillTx/>
              <a:latin typeface="Calibri"/>
              <a:ea typeface="+mn-ea"/>
              <a:cs typeface="+mn-cs"/>
            </a:rPr>
            <a:t>Expected Nurse Aide</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 includes CNA, Med Aide/Tech, and NA TR.</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About CMI (Case-Mix Index):</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The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Nursing Case-Mix Index (CMI)</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is based on MDS assessments and reflects clinical complexity (e.g., ADL deficits, behavioral needs, medical conditions). CMI is obtained from the </a:t>
          </a:r>
          <a:r>
            <a:rPr kumimoji="0" lang="en-US" sz="1100" b="0" i="0" u="sng" strike="noStrike" kern="0" cap="none" spc="0" normalizeH="0" baseline="0" noProof="0">
              <a:ln>
                <a:noFill/>
              </a:ln>
              <a:solidFill>
                <a:sysClr val="windowText" lastClr="000000"/>
              </a:solidFill>
              <a:effectLst/>
              <a:uLnTx/>
              <a:uFillTx/>
              <a:latin typeface="Calibri"/>
              <a:ea typeface="+mn-ea"/>
              <a:cs typeface="+mn-cs"/>
            </a:rPr>
            <a:t>CMS Provider Information dataset</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and merged with Payroll-Based Journal (PBJ) staffing data. For the Q1 2026 staffing report, the CMI variable was pulled from the March 2026 CMS Provider Information data.</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Note: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All </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state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regional</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and </a:t>
          </a:r>
          <a:r>
            <a:rPr kumimoji="0" lang="en-US" sz="1100" b="0" i="1" u="none" strike="noStrike" kern="0" cap="none" spc="0" normalizeH="0" baseline="0" noProof="0">
              <a:ln>
                <a:noFill/>
              </a:ln>
              <a:solidFill>
                <a:sysClr val="windowText" lastClr="000000"/>
              </a:solidFill>
              <a:effectLst/>
              <a:uLnTx/>
              <a:uFillTx/>
              <a:latin typeface="Calibri"/>
              <a:ea typeface="+mn-ea"/>
              <a:cs typeface="+mn-cs"/>
            </a:rPr>
            <a:t>federal</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calculations for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expected staffing and deviation</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exclude facilities that did not report a valid Case-Mix Index (CMI).</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150812</xdr:rowOff>
    </xdr:from>
    <xdr:to>
      <xdr:col>5</xdr:col>
      <xdr:colOff>254001</xdr:colOff>
      <xdr:row>70</xdr:row>
      <xdr:rowOff>190499</xdr:rowOff>
    </xdr:to>
    <xdr:sp macro="" textlink="">
      <xdr:nvSpPr>
        <xdr:cNvPr id="2" name="TextBox 1">
          <a:extLst>
            <a:ext uri="{FF2B5EF4-FFF2-40B4-BE49-F238E27FC236}">
              <a16:creationId xmlns:a16="http://schemas.microsoft.com/office/drawing/2014/main" id="{3BA75FA6-3E66-3F40-A98F-D89515706E94}"/>
            </a:ext>
          </a:extLst>
        </xdr:cNvPr>
        <xdr:cNvSpPr txBox="1"/>
      </xdr:nvSpPr>
      <xdr:spPr>
        <a:xfrm>
          <a:off x="0" y="3554412"/>
          <a:ext cx="5791201" cy="10898187"/>
        </a:xfrm>
        <a:prstGeom prst="rect">
          <a:avLst/>
        </a:prstGeom>
        <a:solidFill>
          <a:srgbClr val="FFC000">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sysClr val="windowText" lastClr="000000"/>
              </a:solidFill>
              <a:effectLst/>
              <a:uLnTx/>
              <a:uFillTx/>
              <a:latin typeface="Calibri" panose="020F0502020204030204"/>
              <a:ea typeface="+mn-ea"/>
              <a:cs typeface="+mn-cs"/>
            </a:rPr>
            <a:t>Data Notes</a:t>
          </a:r>
          <a:b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br>
          <a:endPar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*The total of nursing homes reporting 0 administrator hours does not include nursing homes that reported invalid admin data (N = 50).</a:t>
          </a:r>
          <a:endPar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What is staff HPRD? </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HPRD (Hours Per Resident Day) is a staffing metric calculated by dividing a nursing home's daily staff hours by its MDS census. For example, a nursing home averaging 300 total nurse staff hours and 100 residents per day would have a 3.0 Total Nurse Staff HPRD (300/100 = 3.0). </a:t>
          </a: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MPRD</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is Minutes Per Resident Day.</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prstClr val="black"/>
              </a:solidFill>
              <a:effectLst/>
              <a:uLnTx/>
              <a:uFillTx/>
              <a:latin typeface="Calibri" panose="020F0502020204030204"/>
              <a:ea typeface="+mn-ea"/>
              <a:cs typeface="+mn-cs"/>
            </a:rPr>
            <a:t>What staff are included in "Total Nurse Staff"?</a:t>
          </a:r>
          <a:r>
            <a:rPr kumimoji="0" lang="en-US" sz="1100" b="0" i="0" u="none" strike="noStrike" kern="0" cap="none" spc="0" normalizeH="0" baseline="0" noProof="0">
              <a:ln>
                <a:noFill/>
              </a:ln>
              <a:solidFill>
                <a:prstClr val="black"/>
              </a:solidFill>
              <a:effectLst/>
              <a:uLnTx/>
              <a:uFillTx/>
              <a:latin typeface="Calibri" panose="020F0502020204030204"/>
              <a:ea typeface="+mn-ea"/>
              <a:cs typeface="+mn-cs"/>
            </a:rPr>
            <a:t> Total Nurse Staff combines hours from RNs (incl. Admin and DON), LPNs (incl. Admin), CNAs, Med Aide/Tech, and NA in Training (NA TR). Total RN Staff includes RN Admin &amp; RN DON.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panose="020F0502020204030204"/>
              <a:ea typeface="+mn-ea"/>
              <a:cs typeface="+mn-cs"/>
            </a:rPr>
            <a:t>What staff are included in "Total Nurse Care Staff (excl. Admin/DON)"?</a:t>
          </a:r>
          <a:r>
            <a:rPr kumimoji="0" lang="en-US" sz="1100" b="0" i="0" u="none" strike="noStrike" kern="0" cap="none" spc="0" normalizeH="0" baseline="0" noProof="0">
              <a:ln>
                <a:noFill/>
              </a:ln>
              <a:solidFill>
                <a:prstClr val="black"/>
              </a:solidFill>
              <a:effectLst/>
              <a:uLnTx/>
              <a:uFillTx/>
              <a:latin typeface="Calibri" panose="020F0502020204030204"/>
              <a:ea typeface="+mn-ea"/>
              <a:cs typeface="+mn-cs"/>
            </a:rPr>
            <a:t> Total Nurse Care Staff combines hours from RNs, LPNs, and nurse aides (CNAs, Med Aide/Tech, and NA in Training) that are directly involved in resident care while excluding Admin &amp; DON. Total RN Care Staff excludes RN Admin &amp; RN DON.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Administrative Hours: </a:t>
          </a:r>
          <a:r>
            <a:rPr kumimoji="0" lang="en-US" sz="1100" b="0" i="0" u="none" strike="noStrike" kern="0" cap="none" spc="0" normalizeH="0" baseline="0" noProof="0">
              <a:ln>
                <a:noFill/>
              </a:ln>
              <a:solidFill>
                <a:prstClr val="black"/>
              </a:solidFill>
              <a:effectLst/>
              <a:uLnTx/>
              <a:uFillTx/>
              <a:latin typeface="+mn-lt"/>
              <a:ea typeface="+mn-ea"/>
              <a:cs typeface="+mn-cs"/>
            </a:rPr>
            <a:t>A value of 1 under Hrs_Admin_footnote indicates that a provider submitted an invalid value for Hrs_Admin, so the value is no longer reflected in that column.</a:t>
          </a:r>
          <a:endParaRPr kumimoji="0" lang="en-US" sz="1100" b="0" i="0" u="none" strike="noStrike" kern="0" cap="none" spc="0" normalizeH="0" baseline="0" noProof="0">
            <a:ln>
              <a:noFill/>
            </a:ln>
            <a:solidFill>
              <a:prstClr val="black"/>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prstClr val="black"/>
              </a:solidFill>
              <a:effectLst/>
              <a:uLnTx/>
              <a:uFillTx/>
              <a:latin typeface="Calibri" panose="020F0502020204030204"/>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panose="020F0502020204030204"/>
              <a:ea typeface="+mn-ea"/>
              <a:cs typeface="+mn-cs"/>
            </a:rPr>
            <a:t>Note:</a:t>
          </a:r>
          <a:r>
            <a:rPr kumimoji="0" lang="en-US" sz="1100" b="1" i="1" u="none" strike="noStrike" kern="0" cap="none" spc="0" normalizeH="0" baseline="0" noProof="0">
              <a:ln>
                <a:noFill/>
              </a:ln>
              <a:solidFill>
                <a:srgbClr val="5B9BD5">
                  <a:lumMod val="75000"/>
                </a:srgbClr>
              </a:solidFill>
              <a:effectLst/>
              <a:uLnTx/>
              <a:uFillTx/>
              <a:latin typeface="Calibri" panose="020F0502020204030204"/>
              <a:ea typeface="+mn-ea"/>
              <a:cs typeface="+mn-cs"/>
            </a:rPr>
            <a:t> </a:t>
          </a:r>
          <a:r>
            <a:rPr kumimoji="0" lang="en-US" sz="1100" b="1" i="0" u="none" strike="noStrike" kern="0" cap="none" spc="0" normalizeH="0" baseline="0" noProof="0">
              <a:ln>
                <a:noFill/>
              </a:ln>
              <a:solidFill>
                <a:srgbClr val="5B9BD5">
                  <a:lumMod val="75000"/>
                </a:srgbClr>
              </a:solidFill>
              <a:effectLst/>
              <a:uLnTx/>
              <a:uFillTx/>
              <a:latin typeface="Calibri" panose="020F0502020204030204"/>
              <a:ea typeface="+mn-ea"/>
              <a:cs typeface="+mn-cs"/>
            </a:rPr>
            <a:t>Starting in Q1 2021, LTCCC’s reporting of federal staffing data was modified in two important ways. </a:t>
          </a:r>
          <a:br>
            <a:rPr kumimoji="0" lang="en-US" sz="1100" b="1" i="0" u="none" strike="noStrike" kern="0" cap="none" spc="0" normalizeH="0" baseline="0" noProof="0">
              <a:ln>
                <a:noFill/>
              </a:ln>
              <a:solidFill>
                <a:srgbClr val="5B9BD5">
                  <a:lumMod val="75000"/>
                </a:srgbClr>
              </a:solidFill>
              <a:effectLst/>
              <a:uLnTx/>
              <a:uFillTx/>
              <a:latin typeface="Calibri" panose="020F0502020204030204"/>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panose="020F0502020204030204"/>
              <a:ea typeface="+mn-ea"/>
              <a:cs typeface="+mn-cs"/>
            </a:rPr>
            <a:t>1) Highlighting “Total Nurse Staff HPRD,” a more expansive metric that includes all PBJ nurse staffing categories; and 2) Expanding “Total Direct Care Staff HPRD” to include Med Aide/Tech and NA TR. Med Aide/Tech and NA TR were not included in previous LTCCC staffing reports.</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Calculating state and national averages:</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State and national staffing (Total and RN) HPRD were determined by dividing a given sample's aggregate of facility staffing hours by its aggregate of facility MDS census, thus accounting for variations in facility size. LTCCC staffing reports prior to Q3 2019 used different methodology by averaging all facility HPRDs in a sample (without adjusting for facility size) to determine state and national staffing averages. See "National/State average calculation" box on left for more info.</a:t>
          </a:r>
          <a:b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br>
          <a:b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More on Payroll-Based Journal (PBJ) staffing data. (1) </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Facility staff averages are determined based on PBJ reporting </a:t>
          </a: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(2)</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Not all facilities are in compliance with the staff reporting requirement. This may affect averages at the facility, state, and national level. </a:t>
          </a: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(3) </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The list includes Transitional Care Units and pediatric nursing homes, which generally have significantly higher staffing than a typical nursing home. This, too, will impact state and national averages.</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CMS Regions: </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CMS's 10 regional locations serve different states and territories in the United States. For more information on CMS's regional offices, visit https://www.cms.gov/Medicare/Coding/ICD10/CMS-Regional-Offices.</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For LTCCC's full Q4 2025 staffing report, visit https://nursinghome411.org/staffing-q4-2025/.</a:t>
          </a:r>
          <a:b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Sources</a:t>
          </a:r>
          <a:b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PBJ Daily Nurse Staffing Data:</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https://data.cms.gov/quality-of-care/payroll-based-journal-daily-nurse-staffing</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PBJ Daily Non-Nurse Staffing Data:</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https://data.cms.gov/quality-of-care/payroll-based-journal-daily-non-nurse-staffing</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Information on payroll-based staff reporting requirements</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https://www.cms.gov/Medicare/Quality-Initiatives-Patient-Assessment-Instruments/NursingHomeQualityInits/Staffing-Data-Submission-PBJ</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CMS's PBJ Data Dictionary (Nurse):</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https://data.cms.gov/resources/payroll-based-journal-daily-nurse-staffing-data-dictionary</a:t>
          </a:r>
          <a:b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b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CMS's PBJ Data Dictionary (Non-Nurse):</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https://data.cms.gov/resources/payroll-based-journal-daily-non-nurse-staffing-data-dictionary</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12700</xdr:colOff>
      <xdr:row>16</xdr:row>
      <xdr:rowOff>12700</xdr:rowOff>
    </xdr:from>
    <xdr:to>
      <xdr:col>5</xdr:col>
      <xdr:colOff>632506</xdr:colOff>
      <xdr:row>68</xdr:row>
      <xdr:rowOff>46598</xdr:rowOff>
    </xdr:to>
    <xdr:sp macro="" textlink="">
      <xdr:nvSpPr>
        <xdr:cNvPr id="3" name="TextBox 2">
          <a:extLst>
            <a:ext uri="{FF2B5EF4-FFF2-40B4-BE49-F238E27FC236}">
              <a16:creationId xmlns:a16="http://schemas.microsoft.com/office/drawing/2014/main" id="{7C8384F2-729B-0E46-8CDB-027E69B1FA26}"/>
            </a:ext>
          </a:extLst>
        </xdr:cNvPr>
        <xdr:cNvSpPr txBox="1"/>
      </xdr:nvSpPr>
      <xdr:spPr>
        <a:xfrm>
          <a:off x="292100" y="4292600"/>
          <a:ext cx="6157006" cy="10104998"/>
        </a:xfrm>
        <a:prstGeom prst="rect">
          <a:avLst/>
        </a:prstGeom>
        <a:solidFill>
          <a:srgbClr val="8064A2">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sysClr val="windowText" lastClr="000000"/>
              </a:solidFill>
              <a:effectLst/>
              <a:uLnTx/>
              <a:uFillTx/>
              <a:latin typeface="Calibri"/>
              <a:ea typeface="+mn-ea"/>
              <a:cs typeface="+mn-cs"/>
            </a:rPr>
            <a:t>Data Notes</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*The total of nursing homes reporting 0 administrator hours does not include nursing homes that reported invalid admin data (N = 50).</a:t>
          </a: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What is staff HPRD?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HPRD (Hours Per Resident Day) is a staffing metric calculated by dividing a nursing home's daily staff hours by its MDS census. For example, a nursing home averaging 300 total nurse staff hours and 100 residents per day would have a 3.0 Total Nurse Staff HPRD (300/100 = 3.0).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MPRD</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is Minutes Per Resident Day.</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prstClr val="black"/>
              </a:solidFill>
              <a:effectLst/>
              <a:uLnTx/>
              <a:uFillTx/>
              <a:latin typeface="Calibri"/>
              <a:ea typeface="+mn-ea"/>
              <a:cs typeface="+mn-cs"/>
            </a:rPr>
            <a:t>What staff are included in "Total Nurse Staff"?</a:t>
          </a:r>
          <a:r>
            <a:rPr kumimoji="0" lang="en-US" sz="1100" b="0" i="0" u="none" strike="noStrike" kern="0" cap="none" spc="0" normalizeH="0" baseline="0" noProof="0">
              <a:ln>
                <a:noFill/>
              </a:ln>
              <a:solidFill>
                <a:prstClr val="black"/>
              </a:solidFill>
              <a:effectLst/>
              <a:uLnTx/>
              <a:uFillTx/>
              <a:latin typeface="Calibri"/>
              <a:ea typeface="+mn-ea"/>
              <a:cs typeface="+mn-cs"/>
            </a:rPr>
            <a:t> Total Nurse Staff combines hours from RNs (incl. Admin and DON), LPNs (incl. Admin), CNAs, Med Aide/Tech, and NA in Training (NA TR). Total RN Staff includes RN Admin &amp; RN DON.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a:ea typeface="+mn-ea"/>
              <a:cs typeface="+mn-cs"/>
            </a:rPr>
            <a:t>What staff are included in "Total Nurse Care Staff (excl. Admin/DON)"?</a:t>
          </a:r>
          <a:r>
            <a:rPr kumimoji="0" lang="en-US" sz="1100" b="0" i="0" u="none" strike="noStrike" kern="0" cap="none" spc="0" normalizeH="0" baseline="0" noProof="0">
              <a:ln>
                <a:noFill/>
              </a:ln>
              <a:solidFill>
                <a:prstClr val="black"/>
              </a:solidFill>
              <a:effectLst/>
              <a:uLnTx/>
              <a:uFillTx/>
              <a:latin typeface="Calibri"/>
              <a:ea typeface="+mn-ea"/>
              <a:cs typeface="+mn-cs"/>
            </a:rPr>
            <a:t> Total Nurse Care Staff combines hours from RNs, LPNs, and nurse aides (CNAs, Med Aide/Tech, and NA in Training) that are directly involved in resident care while excluding Admin &amp; DON. Total RN Care Staff excludes RN Admin &amp; RN DON.</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prstClr val="black"/>
              </a:solidFill>
              <a:effectLst/>
              <a:uLnTx/>
              <a:uFillTx/>
              <a:latin typeface="Calibri"/>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Note:</a:t>
          </a:r>
          <a:r>
            <a:rPr kumimoji="0" lang="en-US" sz="1100" b="1" i="1" u="none" strike="noStrike" kern="0" cap="none" spc="0" normalizeH="0" baseline="0" noProof="0">
              <a:ln>
                <a:noFill/>
              </a:ln>
              <a:solidFill>
                <a:srgbClr val="5B9BD5">
                  <a:lumMod val="75000"/>
                </a:srgbClr>
              </a:solidFill>
              <a:effectLst/>
              <a:uLnTx/>
              <a:uFillTx/>
              <a:latin typeface="Calibri"/>
              <a:ea typeface="+mn-ea"/>
              <a:cs typeface="+mn-cs"/>
            </a:rPr>
            <a:t> </a:t>
          </a: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Starting in Q1 2021, LTCCC’s reporting of federal staffing data was modified in two important ways. </a:t>
          </a:r>
          <a:b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1) Highlighting “Total Nurse Staff HPRD,” a more expansive metric that includes all PBJ nurse staffing categories; and 2) Expanding “Total Direct Care Staff HPRD” to include Med Aide/Tech and NA TR. Med Aide/Tech and NA TR were not included in previous LTCCC staffing reports.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Calculating state and national averages:</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State and national staffing (Total and RN) HPRD were determined by dividing a given sample's aggregate of facility staffing hours by its aggregate of facility MDS census, thus accounting for variations in facility size. LTCCC staffing reports prior to Q3 2019 used different methodology by averaging all facility HPRDs in a sample (without adjusting for facility size) to determine state and national staffing averages. See "National/State average calculation" box on left for more info.</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More on Payroll-Based Journal (PBJ) staffing data. (1)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Facility staff averages are determined based on PBJ reporting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(2)</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Not all facilities are in compliance with the staff reporting requirement. This may affect averages at the facility, state, and national level.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(3)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The list includes Transitional Care Units and pediatric nursing homes, which generally have significantly higher staffing than a typical nursing home. This, too, will impact state and national averages.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 Regions: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CMS's 10 regional locations serve different states and territories in the United States. For more information on CMS's regional offices, visit https://www.cms.gov/Medicare/Coding/ICD10/CMS-Regional-Offices.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For LTCCC's full Q1 2026 staffing report, visit https://nursinghome411.org/staffing-q1-2026/.</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600" b="1" i="0" u="none" strike="noStrike" kern="0" cap="none" spc="0" normalizeH="0" baseline="0" noProof="0">
              <a:ln>
                <a:noFill/>
              </a:ln>
              <a:solidFill>
                <a:sysClr val="windowText" lastClr="000000"/>
              </a:solidFill>
              <a:effectLst/>
              <a:uLnTx/>
              <a:uFillTx/>
              <a:latin typeface="Calibri"/>
              <a:ea typeface="+mn-ea"/>
              <a:cs typeface="+mn-cs"/>
            </a:rPr>
            <a:t>Sources</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PBJ Daily Nurse Staffing Data:</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https://data.cms.gov/quality-of-care/payroll-based-journal-daily-nurse-staffing</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PBJ Daily Non-Nurse Staffing Data:</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https://data.cms.gov/quality-of-care/payroll-based-journal-daily-non-nurse-staffing</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Information on payroll-based staff reporting requirements</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https://www.cms.gov/Medicare/Quality-Initiatives-Patient-Assessment-Instruments/NursingHomeQualityInits/Staffing-Data-Submission-PBJ</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CMS's PBJ Data Dictionary (Nurse):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https://data.cms.gov/resources/payroll-based-journal-daily-nurse-staffing-data-dictionary</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CMS's PBJ Data Dictionary (Non-Nurse):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https://data.cms.gov/resources/payroll-based-journal-daily-non-nurse-staffing-data-dictionary</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215900</xdr:colOff>
      <xdr:row>0</xdr:row>
      <xdr:rowOff>139700</xdr:rowOff>
    </xdr:from>
    <xdr:to>
      <xdr:col>0</xdr:col>
      <xdr:colOff>6429828</xdr:colOff>
      <xdr:row>49</xdr:row>
      <xdr:rowOff>188339</xdr:rowOff>
    </xdr:to>
    <xdr:sp macro="" textlink="">
      <xdr:nvSpPr>
        <xdr:cNvPr id="3" name="TextBox 2">
          <a:extLst>
            <a:ext uri="{FF2B5EF4-FFF2-40B4-BE49-F238E27FC236}">
              <a16:creationId xmlns:a16="http://schemas.microsoft.com/office/drawing/2014/main" id="{9253ED93-B7E9-3F4E-BB5A-A5DAEE07560A}"/>
            </a:ext>
          </a:extLst>
        </xdr:cNvPr>
        <xdr:cNvSpPr txBox="1"/>
      </xdr:nvSpPr>
      <xdr:spPr>
        <a:xfrm>
          <a:off x="215900" y="139700"/>
          <a:ext cx="6213928" cy="10208639"/>
        </a:xfrm>
        <a:prstGeom prst="rect">
          <a:avLst/>
        </a:prstGeom>
        <a:solidFill>
          <a:srgbClr val="8064A2">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sysClr val="windowText" lastClr="000000"/>
              </a:solidFill>
              <a:effectLst/>
              <a:uLnTx/>
              <a:uFillTx/>
              <a:latin typeface="Calibri"/>
              <a:ea typeface="+mn-ea"/>
              <a:cs typeface="+mn-cs"/>
            </a:rPr>
            <a:t>Data Notes</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*The total of nursing homes reporting 0 administrator hours does not include nursing homes that reported invalid admin data (N = 50).</a:t>
          </a: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What is staff HPRD?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HPRD (Hours Per Resident Day) is a staffing metric calculated by dividing a nursing home's daily staff hours by its MDS census. For example, a nursing home averaging 300 total nurse staff hours and 100 residents per day would have a 3.0 Total Nurse Staff HPRD (300/100 = 3.0).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MPRD</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is Minutes Per Resident Day.</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prstClr val="black"/>
              </a:solidFill>
              <a:effectLst/>
              <a:uLnTx/>
              <a:uFillTx/>
              <a:latin typeface="Calibri"/>
              <a:ea typeface="+mn-ea"/>
              <a:cs typeface="+mn-cs"/>
            </a:rPr>
            <a:t>What staff are included in "Total Nurse Staff"?</a:t>
          </a:r>
          <a:r>
            <a:rPr kumimoji="0" lang="en-US" sz="1100" b="0" i="0" u="none" strike="noStrike" kern="0" cap="none" spc="0" normalizeH="0" baseline="0" noProof="0">
              <a:ln>
                <a:noFill/>
              </a:ln>
              <a:solidFill>
                <a:prstClr val="black"/>
              </a:solidFill>
              <a:effectLst/>
              <a:uLnTx/>
              <a:uFillTx/>
              <a:latin typeface="Calibri"/>
              <a:ea typeface="+mn-ea"/>
              <a:cs typeface="+mn-cs"/>
            </a:rPr>
            <a:t> Total Nurse Staff combines hours from RNs (incl. Admin and DON), LPNs (incl. Admin), CNAs, Med Aide/Tech, and NA in Training (NA TR). Total RN Staff includes RN Admin &amp; RN DON.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a:ea typeface="+mn-ea"/>
              <a:cs typeface="+mn-cs"/>
            </a:rPr>
            <a:t>What staff are included in "Total Nurse Care Staff (excl. Admin/DON)"?</a:t>
          </a:r>
          <a:r>
            <a:rPr kumimoji="0" lang="en-US" sz="1100" b="0" i="0" u="none" strike="noStrike" kern="0" cap="none" spc="0" normalizeH="0" baseline="0" noProof="0">
              <a:ln>
                <a:noFill/>
              </a:ln>
              <a:solidFill>
                <a:prstClr val="black"/>
              </a:solidFill>
              <a:effectLst/>
              <a:uLnTx/>
              <a:uFillTx/>
              <a:latin typeface="Calibri"/>
              <a:ea typeface="+mn-ea"/>
              <a:cs typeface="+mn-cs"/>
            </a:rPr>
            <a:t> Total Nurse Care Staff combines hours from RNs, LPNs, and nurse aides (CNAs, Med Aide/Tech, and NA in Training) that are directly involved in resident care while excluding Admin &amp; DON. Total RN Care Staff excludes RN Admin &amp; RN DON.</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prstClr val="black"/>
              </a:solidFill>
              <a:effectLst/>
              <a:uLnTx/>
              <a:uFillTx/>
              <a:latin typeface="Calibri"/>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Note:</a:t>
          </a:r>
          <a:r>
            <a:rPr kumimoji="0" lang="en-US" sz="1100" b="1" i="1" u="none" strike="noStrike" kern="0" cap="none" spc="0" normalizeH="0" baseline="0" noProof="0">
              <a:ln>
                <a:noFill/>
              </a:ln>
              <a:solidFill>
                <a:srgbClr val="5B9BD5">
                  <a:lumMod val="75000"/>
                </a:srgbClr>
              </a:solidFill>
              <a:effectLst/>
              <a:uLnTx/>
              <a:uFillTx/>
              <a:latin typeface="Calibri"/>
              <a:ea typeface="+mn-ea"/>
              <a:cs typeface="+mn-cs"/>
            </a:rPr>
            <a:t> </a:t>
          </a: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Starting in Q1 2021, LTCCC’s reporting of federal staffing data was modified in two important ways. </a:t>
          </a:r>
          <a:b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br>
          <a:r>
            <a:rPr kumimoji="0" lang="en-US" sz="1100" b="1" i="0" u="none" strike="noStrike" kern="0" cap="none" spc="0" normalizeH="0" baseline="0" noProof="0">
              <a:ln>
                <a:noFill/>
              </a:ln>
              <a:solidFill>
                <a:srgbClr val="5B9BD5">
                  <a:lumMod val="75000"/>
                </a:srgbClr>
              </a:solidFill>
              <a:effectLst/>
              <a:uLnTx/>
              <a:uFillTx/>
              <a:latin typeface="Calibri"/>
              <a:ea typeface="+mn-ea"/>
              <a:cs typeface="+mn-cs"/>
            </a:rPr>
            <a:t>1) Highlighting “Total Nurse Staff HPRD,” a more expansive metric that includes all PBJ nurse staffing categories; and 2) Expanding “Total Direct Care Staff HPRD” to include Med Aide/Tech and NA TR. Med Aide/Tech and NA TR were not included in previous LTCCC staffing reports.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Calculating state and national averages:</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State and national staffing (Total and RN) HPRD were determined by dividing a given sample's aggregate of facility staffing hours by its aggregate of facility MDS census, thus accounting for variations in facility size. LTCCC staffing reports prior to Q3 2019 used different methodology by averaging all facility HPRDs in a sample (without adjusting for facility size) to determine state and national staffing averages. See "National/State average calculation" box on left for more info.</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More on Payroll-Based Journal (PBJ) staffing data. (1)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Facility staff averages are determined based on PBJ reporting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(2)</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Not all facilities are in compliance with the staff reporting requirement. This may affect averages at the facility, state, and national level.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(3)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The list includes Transitional Care Units and pediatric nursing homes, which generally have significantly higher staffing than a typical nursing home. This, too, will impact state and national averages.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 Regions: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CMS's 10 regional locations serve different states and territories in the United States. For more information on CMS's regional offices, visit https://www.cms.gov/Medicare/Coding/ICD10/CMS-Regional-Offices.</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For LTCCC's full Q1 2026 staffing report, visit https://nursinghome411.org/staffing-q1-2026/.</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600" b="1" i="0" u="none" strike="noStrike" kern="0" cap="none" spc="0" normalizeH="0" baseline="0" noProof="0">
              <a:ln>
                <a:noFill/>
              </a:ln>
              <a:solidFill>
                <a:sysClr val="windowText" lastClr="000000"/>
              </a:solidFill>
              <a:effectLst/>
              <a:uLnTx/>
              <a:uFillTx/>
              <a:latin typeface="Calibri"/>
              <a:ea typeface="+mn-ea"/>
              <a:cs typeface="+mn-cs"/>
            </a:rPr>
            <a:t>Sources</a:t>
          </a:r>
          <a:br>
            <a:rPr kumimoji="0" lang="en-US" sz="1100" b="1"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PBJ Daily Nurse Staffing Data:</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https://data.cms.gov/quality-of-care/payroll-based-journal-daily-nurse-staffing</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PBJ Daily Non-Nurse Staffing Data:</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https://data.cms.gov/quality-of-care/payroll-based-journal-daily-non-nurse-staffing</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Information on payroll-based staff reporting requirements</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https://www.cms.gov/Medicare/Quality-Initiatives-Patient-Assessment-Instruments/NursingHomeQualityInits/Staffing-Data-Submission-PBJ</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CMS's PBJ Data Dictionary (Nurse):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https://data.cms.gov/resources/payroll-based-journal-daily-nurse-staffing-data-dictionary</a:t>
          </a:r>
          <a:br>
            <a:rPr kumimoji="0" lang="en-US" sz="1100" b="0" i="0" u="none" strike="noStrike" kern="0" cap="none" spc="0" normalizeH="0" baseline="0" noProof="0">
              <a:ln>
                <a:noFill/>
              </a:ln>
              <a:solidFill>
                <a:sysClr val="windowText" lastClr="000000"/>
              </a:solidFill>
              <a:effectLst/>
              <a:uLnTx/>
              <a:uFillTx/>
              <a:latin typeface="Calibri"/>
              <a:ea typeface="+mn-ea"/>
              <a:cs typeface="+mn-cs"/>
            </a:rPr>
          </a:br>
          <a:r>
            <a:rPr kumimoji="0" lang="en-US" sz="1100" b="1" i="0" u="none" strike="noStrike" kern="0" cap="none" spc="0" normalizeH="0" baseline="0" noProof="0">
              <a:ln>
                <a:noFill/>
              </a:ln>
              <a:solidFill>
                <a:sysClr val="windowText" lastClr="000000"/>
              </a:solidFill>
              <a:effectLst/>
              <a:uLnTx/>
              <a:uFillTx/>
              <a:latin typeface="Calibri"/>
              <a:ea typeface="+mn-ea"/>
              <a:cs typeface="+mn-cs"/>
            </a:rPr>
            <a:t>CMS's PBJ Data Dictionary (Non-Nurse):</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https://data.cms.gov/resources/payroll-based-journal-daily-non-nurse-staffing-data-dictionary</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hayleycronquist/Downloads/PBJ-Nurse-Q1-2026.xlsx" TargetMode="External"/><Relationship Id="rId1" Type="http://schemas.openxmlformats.org/officeDocument/2006/relationships/externalLinkPath" Target="PBJ-Nurse-Q1-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hayleycronquist/Downloads/PBJ-NonNurse-Q1-2026.xlsx" TargetMode="External"/><Relationship Id="rId1" Type="http://schemas.openxmlformats.org/officeDocument/2006/relationships/externalLinkPath" Target="PBJ-NonNurse-Q1-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urse"/>
      <sheetName val="Summary Data"/>
      <sheetName val="Notes &amp; Glossary"/>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n-Nurse"/>
      <sheetName val="Summary NonNurse-USA"/>
      <sheetName val="Summary NonNurse-Region &amp; State"/>
      <sheetName val="Notes &amp; Glossary"/>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B3DF820-9196-C84E-8D79-80050A035C41}" name="Summary" displayName="Summary" ref="B2:D16" totalsRowShown="0" headerRowDxfId="140" dataDxfId="139" tableBorderDxfId="138">
  <autoFilter ref="B2:D16" xr:uid="{4B3DF820-9196-C84E-8D79-80050A035C41}"/>
  <tableColumns count="3">
    <tableColumn id="1" xr3:uid="{FDF7E916-8CF0-9F45-B510-9F469185C94D}" name="National - Q1 2026" dataDxfId="137"/>
    <tableColumn id="2" xr3:uid="{78C97743-5DD0-D547-B314-70F630117462}" name="US Average" dataDxfId="136" dataCellStyle="Normal 2 2"/>
    <tableColumn id="3" xr3:uid="{90B4051E-AA93-5541-B61A-5AD8800B3D94}" name="Median" dataDxfId="135"/>
  </tableColumns>
  <tableStyleInfo name="TableStyleMedium16 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CD0E0F-18E6-CF48-BA85-266A84ADD181}" name="Category1221" displayName="Category1221" ref="AP2:AS30" totalsRowShown="0" headerRowDxfId="5" dataDxfId="4">
  <autoFilter ref="AP2:AS30" xr:uid="{9ACD0E0F-18E6-CF48-BA85-266A84ADD181}"/>
  <tableColumns count="4">
    <tableColumn id="1" xr3:uid="{B302CB80-4D97-8846-93D1-E13F6A189E0D}" name="Staffing Category" dataDxfId="3"/>
    <tableColumn id="2" xr3:uid="{43D42305-B1A3-BB4C-AD4C-2346861F57C4}" name="US Total Hours" dataDxfId="2"/>
    <tableColumn id="4" xr3:uid="{995B3285-1CCA-524B-AB03-61F0C6513024}" name="MPRD" dataDxfId="1"/>
    <tableColumn id="3" xr3:uid="{4DDC6DE5-F9EA-BA45-A227-EB6922F61CE4}" name="NHs reporting 0" dataDxfId="0"/>
  </tableColumns>
  <tableStyleInfo name="TableStyleMedium1 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93C2B75-82EF-1540-BD14-7B6B194A3FEC}" name="CMSRegion" displayName="CMSRegion" ref="F2:S12" totalsRowShown="0" headerRowDxfId="115" dataDxfId="100">
  <autoFilter ref="F2:S12" xr:uid="{993C2B75-82EF-1540-BD14-7B6B194A3FEC}"/>
  <tableColumns count="14">
    <tableColumn id="1" xr3:uid="{349D59B0-87EF-1246-AA5C-D872342D553F}" name="CMS Region Number" dataDxfId="114"/>
    <tableColumn id="2" xr3:uid="{5A765F43-7366-BC4F-A8AB-D595D860C581}" name="Total Census" dataDxfId="113"/>
    <tableColumn id="8" xr3:uid="{CA556E80-2695-4D45-91A7-0C2EBB31DF09}" name="Providers" dataDxfId="112"/>
    <tableColumn id="7" xr3:uid="{BCF212A9-0D08-FA41-83B7-B963B6160F6D}" name="Total Nurse Staff HPRD" dataDxfId="111"/>
    <tableColumn id="3" xr3:uid="{7A998780-5F34-9441-B104-7D2F13EE4504}" name="Rank: Total Nurse Staff HPRD" dataDxfId="110"/>
    <tableColumn id="14" xr3:uid="{364B1143-5A9B-EB4A-9642-2083444947B4}" name="Expected Total Nurse Staff HPRD" dataDxfId="109"/>
    <tableColumn id="13" xr3:uid="{666F791A-369B-AB43-A09A-2D37FF867DC8}" name="Percent Deviation From Expected Nurse Staffing" dataDxfId="108" dataCellStyle="Percent"/>
    <tableColumn id="4" xr3:uid="{7AD6108C-6BB2-4B41-A2D3-03DBB045BDB2}" name="% Providers ≥ 4.1 HPRD" dataDxfId="107" dataCellStyle="Percent"/>
    <tableColumn id="12" xr3:uid="{93CE0B6D-86F7-374F-BC11-812C31837415}" name="% NHs ≥ 3.48 HPRD" dataDxfId="106" dataCellStyle="Percent"/>
    <tableColumn id="11" xr3:uid="{F7DF81BB-05AA-BD44-8086-0DAF6835080C}" name="% NHs ≥ 0.75 Total RN" dataDxfId="105" dataCellStyle="Percent"/>
    <tableColumn id="5" xr3:uid="{12E249AC-E0B1-FD4F-8243-F8D106E75221}" name="RN Staff HPRD" dataDxfId="104"/>
    <tableColumn id="10" xr3:uid="{DC352479-96C3-074B-B14E-94EB118453D5}" name="Rank: RN Staff HPRD" dataDxfId="103"/>
    <tableColumn id="9" xr3:uid="{184821AF-88C8-F34B-8269-24AA1FA443FD}" name="% Contract" dataDxfId="102" dataCellStyle="Percent"/>
    <tableColumn id="6" xr3:uid="{2665A67A-AD12-9B46-99A6-C5D3DC61F342}" name="Rank: % Contract" dataDxfId="101"/>
  </tableColumns>
  <tableStyleInfo name="TableStyleMedium17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AB0E729-56E9-BD47-8FD9-6490ED3A659A}" name="State" displayName="State" ref="U2:AH54" totalsRowShown="0" headerRowDxfId="134" dataDxfId="85">
  <autoFilter ref="U2:AH54" xr:uid="{9AB0E729-56E9-BD47-8FD9-6490ED3A659A}"/>
  <sortState xmlns:xlrd2="http://schemas.microsoft.com/office/spreadsheetml/2017/richdata2" ref="U3:AH54">
    <sortCondition ref="U2:U54"/>
  </sortState>
  <tableColumns count="14">
    <tableColumn id="1" xr3:uid="{6AEB3F12-9CA3-C74B-9CC6-EF0E3FE6AD3D}" name="State" dataDxfId="99"/>
    <tableColumn id="2" xr3:uid="{237AFCD4-58DD-FC4E-91B0-A72189ADD99B}" name="Total Census" dataDxfId="98"/>
    <tableColumn id="10" xr3:uid="{475D4444-0F9D-3349-8026-B4D223F43B95}" name="Providers" dataDxfId="97"/>
    <tableColumn id="4" xr3:uid="{56283932-51BE-1342-93F6-8E9B31BB87A9}" name="Total Nurse Staff HPRD" dataDxfId="96"/>
    <tableColumn id="3" xr3:uid="{A2E1823A-CA2F-EB4C-BC0B-A313453E961C}" name="Rank: Total Nurse Staff HPRD" dataDxfId="95"/>
    <tableColumn id="13" xr3:uid="{C1D4A1E8-07C5-EA44-9202-99E421582A20}" name="Expected Total Nurse Staff HPRD" dataDxfId="94"/>
    <tableColumn id="14" xr3:uid="{282DAC85-86EC-4944-9964-C5E149697377}" name="Percent Deviation From Expected Nurse Staffing" dataDxfId="93" dataCellStyle="Percent"/>
    <tableColumn id="9" xr3:uid="{CD94661B-1008-2B45-BC14-A0C79DA8D868}" name="% Providers ≥ 4.1 HPRD" dataDxfId="92" dataCellStyle="Percent"/>
    <tableColumn id="12" xr3:uid="{93AA88AB-AAAC-984C-8F5C-1F6BFB83E1FF}" name="% NHs ≥ 3.48 HPRD" dataDxfId="91" dataCellStyle="Percent"/>
    <tableColumn id="11" xr3:uid="{29EC1C9A-8995-D34A-8EAE-57FA61AC5C4F}" name="% NHs ≥ 0.75 Total RN" dataDxfId="90" dataCellStyle="Percent"/>
    <tableColumn id="5" xr3:uid="{2684D6CA-F762-C94B-93B3-DF72C23554BE}" name="RN Staff HPRD" dataDxfId="89"/>
    <tableColumn id="8" xr3:uid="{B4CEF758-ED82-F84A-A932-229EBCDE0FB8}" name="Rank: RN Staff HPRD" dataDxfId="88"/>
    <tableColumn id="7" xr3:uid="{D93242FD-EF91-4540-B7E7-0CF8853097B3}" name="% Contract" dataDxfId="87" dataCellStyle="Percent"/>
    <tableColumn id="6" xr3:uid="{16CD9D16-736F-784E-A8CE-DE794277334D}" name="Rank: % Contract" dataDxfId="86"/>
  </tableColumns>
  <tableStyleInfo name="TableStyleMedium19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38C8A6D-38EE-CB40-8861-139B6FA88A03}" name="Category" displayName="Category" ref="AJ2:AM15" totalsRowShown="0" headerRowDxfId="133" dataDxfId="132">
  <autoFilter ref="AJ2:AM15" xr:uid="{438C8A6D-38EE-CB40-8861-139B6FA88A03}"/>
  <tableColumns count="4">
    <tableColumn id="1" xr3:uid="{B85FFE9F-FCBD-EF49-94C2-728FCDF48C03}" name="Staffing Category" dataDxfId="131"/>
    <tableColumn id="2" xr3:uid="{184FEBBD-7967-AE44-93F3-0DDF6896A116}" name="US Total" dataDxfId="84"/>
    <tableColumn id="3" xr3:uid="{55A8F5C6-B3AA-D947-92BA-7BA41E18DE8C}" name="Percentage of Total" dataDxfId="83"/>
    <tableColumn id="4" xr3:uid="{A4DB217B-46EF-BF4F-B0CC-93F5E5670859}" name="HPRD" dataDxfId="82"/>
  </tableColumns>
  <tableStyleInfo name="TableStyleMedium1 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7C35902-9D90-2440-848E-FBDD12597A70}" name="ContractSummary" displayName="ContractSummary" ref="AJ18:AM27" totalsRowShown="0" headerRowDxfId="130" dataDxfId="129">
  <autoFilter ref="AJ18:AM27" xr:uid="{27C35902-9D90-2440-848E-FBDD12597A70}"/>
  <tableColumns count="4">
    <tableColumn id="1" xr3:uid="{C41E07A8-88FE-DD41-A180-F09639B76906}" name="Contract Hours by Position" dataDxfId="128"/>
    <tableColumn id="2" xr3:uid="{1AEE5F9B-A317-7446-9208-0B5E7CE2E9F1}" name="% Contract Hours" dataDxfId="81" dataCellStyle="Percent"/>
    <tableColumn id="3" xr3:uid="{9BA44ABF-8DA9-CE4A-AB25-907DAAC60152}" name="Contract Hours2" dataDxfId="80"/>
    <tableColumn id="4" xr3:uid="{78EF3438-4A12-754C-B45B-B4CEC9170730}" name="Total Hours" dataDxfId="79"/>
  </tableColumns>
  <tableStyleInfo name="TableStyleMedium1 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1F0D4D-35D5-0447-AECC-04D7D20B50AE}" name="Summary9164" displayName="Summary9164" ref="B2:D14" totalsRowShown="0" headerRowDxfId="127" dataDxfId="126" tableBorderDxfId="125">
  <autoFilter ref="B2:D14" xr:uid="{4C1F0D4D-35D5-0447-AECC-04D7D20B50AE}"/>
  <tableColumns count="3">
    <tableColumn id="1" xr3:uid="{1C6DA002-A452-B942-98C4-5D99CB424DCC}" name="National - Q1 2026" dataDxfId="124"/>
    <tableColumn id="2" xr3:uid="{37727054-9860-2C46-AB68-8713CD7F71FD}" name="US Ratio" dataDxfId="123" dataCellStyle="Normal 2 2"/>
    <tableColumn id="3" xr3:uid="{8E35857D-B689-DF4B-BDD8-3C9DD044EF8E}" name="Median" dataDxfId="122"/>
  </tableColumns>
  <tableStyleInfo name="TableStyleMedium16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D213E1-2E6A-B54F-85DB-23BDBDAF191A}" name="Summary916" displayName="Summary916" ref="B2:D14" totalsRowShown="0" headerRowDxfId="121" dataDxfId="120" tableBorderDxfId="119">
  <autoFilter ref="B2:D14" xr:uid="{29D213E1-2E6A-B54F-85DB-23BDBDAF191A}"/>
  <tableColumns count="3">
    <tableColumn id="1" xr3:uid="{D935A48D-10F8-024F-92D3-AB33744D9E2B}" name="National - Q1 2026" dataDxfId="118"/>
    <tableColumn id="2" xr3:uid="{3F06D520-D087-ED49-9653-DD9BFC523862}" name="US Ratio" dataDxfId="117" dataCellStyle="Normal 2 2"/>
    <tableColumn id="3" xr3:uid="{0B3F834C-8168-4041-840B-448D92CD962D}" name="Median" dataDxfId="116"/>
  </tableColumns>
  <tableStyleInfo name="TableStyleMedium16 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EAC592-8246-1C46-B5E5-9779AB8761F7}" name="CMSRegion1017" displayName="CMSRegion1017" ref="F2:V12" totalsRowShown="0" headerRowDxfId="57" dataDxfId="56">
  <autoFilter ref="F2:V12" xr:uid="{44EAC592-8246-1C46-B5E5-9779AB8761F7}"/>
  <tableColumns count="17">
    <tableColumn id="1" xr3:uid="{7401AE00-D8B8-2540-9733-3F0024714EC8}" name="CMS Region Number" dataDxfId="55"/>
    <tableColumn id="2" xr3:uid="{8C4AED5C-6D9D-F64B-B4E9-82AD6150B054}" name="Total Census" dataDxfId="54">
      <calculatedColumnFormula>SUMIF([2]!NonNurse[CMS Region Number], CMSRegion1017[[#This Row],[CMS Region Number]], [2]!NonNurse[MDScensus])</calculatedColumnFormula>
    </tableColumn>
    <tableColumn id="8" xr3:uid="{FCB6D25D-0E12-504E-8EB2-1F45465FC449}" name="Providers" dataDxfId="53">
      <calculatedColumnFormula>COUNTIF([2]!NonNurse[CMS Region Number], CMSRegion1017[[#This Row],[CMS Region Number]])</calculatedColumnFormula>
    </tableColumn>
    <tableColumn id="14" xr3:uid="{AD61F043-1F24-7345-9E2C-B5AB77054149}" name="Total Admin MPRD" dataDxfId="52">
      <calculatedColumnFormula>SUMIF([2]!NonNurse[CMS Region Number], CMSRegion1017[[#This Row],[CMS Region Number]], [2]!NonNurse[Hrs_Admin])/SUMIF([2]!NonNurse[CMS Region Number], CMSRegion1017[[#This Row],[CMS Region Number]], [2]!NonNurse[MDScensus])*60</calculatedColumnFormula>
    </tableColumn>
    <tableColumn id="15" xr3:uid="{6688C2D8-A1B3-0740-A32D-2ECC35C4400E}" name="Rank: Total Admin MPRD" dataDxfId="51">
      <calculatedColumnFormula>RANK(CMSRegion1017[[#This Row],[Total Admin MPRD]],CMSRegion1017[Total Admin MPRD])</calculatedColumnFormula>
    </tableColumn>
    <tableColumn id="12" xr3:uid="{D85D22EF-4913-D04F-A9BB-05555540FF44}" name="Total MedDir MPRD" dataDxfId="50">
      <calculatedColumnFormula>SUMIF([2]!NonNurse[CMS Region Number], CMSRegion1017[[#This Row],[CMS Region Number]], [2]!NonNurse[Hrs_MedDir])/SUMIF([2]!NonNurse[CMS Region Number], CMSRegion1017[[#This Row],[CMS Region Number]], [2]!NonNurse[MDScensus])*60</calculatedColumnFormula>
    </tableColumn>
    <tableColumn id="13" xr3:uid="{C9F1907C-EF16-2147-9DD7-D0E5C16763D8}" name="Rank: Total MedDir MPRD" dataDxfId="49">
      <calculatedColumnFormula>RANK(CMSRegion1017[[#This Row],[Total MedDir MPRD]],CMSRegion1017[Total MedDir MPRD])</calculatedColumnFormula>
    </tableColumn>
    <tableColumn id="17" xr3:uid="{40DDF275-1663-2C49-BFFB-DE80A692ADDF}" name="Total Pharmacist MPRD" dataDxfId="48">
      <calculatedColumnFormula>SUMIF([2]!NonNurse[CMS Region Number], CMSRegion1017[[#This Row],[CMS Region Number]], [2]!NonNurse[Hrs_Pharmacist])/SUMIF([2]!NonNurse[CMS Region Number], CMSRegion1017[[#This Row],[CMS Region Number]], [2]!NonNurse[MDScensus])*60</calculatedColumnFormula>
    </tableColumn>
    <tableColumn id="16" xr3:uid="{5734F23A-F89B-0245-B1BB-C93C701CA068}" name="Rank: Total Pharmacist MPRD" dataDxfId="47">
      <calculatedColumnFormula>RANK(CMSRegion1017[[#This Row],[Total Pharmacist MPRD]],CMSRegion1017[Total Pharmacist MPRD])</calculatedColumnFormula>
    </tableColumn>
    <tableColumn id="10" xr3:uid="{D4D00610-22F4-2C4F-A981-95A99C7CD823}" name="Total Social Work MPRD" dataDxfId="46">
      <calculatedColumnFormula>(SUMIF([2]!NonNurse[CMS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calculatedColumnFormula>
    </tableColumn>
    <tableColumn id="11" xr3:uid="{B719195B-4CDC-5A44-92FC-DF4869615163}" name="Rank: Total Social Work MPRD" dataDxfId="45">
      <calculatedColumnFormula>RANK(CMSRegion1017[[#This Row],[Total Social Work MPRD]],CMSRegion1017[Total Social Work MPRD])</calculatedColumnFormula>
    </tableColumn>
    <tableColumn id="6" xr3:uid="{D54F013C-9DE4-F845-A1A2-F7E6CC8660F2}" name="Total OT MPRD" dataDxfId="44">
      <calculatedColumnFormula>(SUMIF([2]!NonNurse[CMS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calculatedColumnFormula>
    </tableColumn>
    <tableColumn id="9" xr3:uid="{B6CF63E9-DA5A-8443-9BC1-ADE959CD36EB}" name="Rank: Total OT MPRD" dataDxfId="43">
      <calculatedColumnFormula>RANK(CMSRegion1017[[#This Row],[Total OT MPRD]],CMSRegion1017[Total OT MPRD])</calculatedColumnFormula>
    </tableColumn>
    <tableColumn id="4" xr3:uid="{2661AD45-C692-D04D-8079-12E7455FE3D7}" name="Total PT MPRD" dataDxfId="42">
      <calculatedColumnFormula>(SUMIF([2]!NonNurse[CMS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calculatedColumnFormula>
    </tableColumn>
    <tableColumn id="5" xr3:uid="{147C3463-FB0D-3D4E-BA98-D0938CF3DDC0}" name="Rank: Total PT MPRD" dataDxfId="41">
      <calculatedColumnFormula>RANK(CMSRegion1017[[#This Row],[Total PT MPRD]],CMSRegion1017[Total PT MPRD])</calculatedColumnFormula>
    </tableColumn>
    <tableColumn id="7" xr3:uid="{D7D2E510-068A-834A-968A-0EEB4F7CD2EA}" name="Total Activities MPRD" dataDxfId="40">
      <calculatedColumnFormula>(SUMIF([2]!NonNurse[CMS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calculatedColumnFormula>
    </tableColumn>
    <tableColumn id="3" xr3:uid="{9B56F4FB-0977-1B44-A95F-34050C6B3E1E}" name="Rank: Total Activities MPRD" dataDxfId="39">
      <calculatedColumnFormula>RANK(CMSRegion1017[[#This Row],[Total Activities MPRD]], CMSRegion1017[Total Activities MPRD])</calculatedColumnFormula>
    </tableColumn>
  </tableColumns>
  <tableStyleInfo name="TableStyleMedium21 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A34B63-E0C3-4D4A-A058-8BFDF7671C64}" name="State112010" displayName="State112010" ref="X2:AN54" totalsRowShown="0" headerRowDxfId="31" dataDxfId="30">
  <autoFilter ref="X2:AN54" xr:uid="{C0A34B63-E0C3-4D4A-A058-8BFDF7671C64}"/>
  <tableColumns count="17">
    <tableColumn id="1" xr3:uid="{8B531458-9F69-A94C-9D2A-F5F5EA3BA426}" name="State" dataDxfId="29"/>
    <tableColumn id="2" xr3:uid="{B6F6A510-07D6-2642-A7E5-AD045BB0B945}" name="Total Census" dataDxfId="28">
      <calculatedColumnFormula>SUMIF([2]!NonNurse[STATE], State112010[[#This Row],[State]], [2]!NonNurse[MDScensus])</calculatedColumnFormula>
    </tableColumn>
    <tableColumn id="10" xr3:uid="{A9E84E60-13BB-4745-BF46-66F434916D81}" name="Providers" dataDxfId="27">
      <calculatedColumnFormula>COUNTIF([2]!NonNurse[STATE], State112010[[#This Row],[State]])</calculatedColumnFormula>
    </tableColumn>
    <tableColumn id="14" xr3:uid="{6AA0D40B-58F2-3346-9070-DA0644D8E62E}" name="Total Admin MPRD" dataDxfId="26">
      <calculatedColumnFormula>SUMIF([2]!NonNurse[STATE], State112010[[#This Row],[State]], [2]!NonNurse[Hrs_Admin])/SUMIF([2]!NonNurse[STATE], State112010[[#This Row],[State]], [2]!NonNurse[MDScensus])*60</calculatedColumnFormula>
    </tableColumn>
    <tableColumn id="15" xr3:uid="{52B42A8C-96E8-4F4F-A381-2125F20564B6}" name="Rank: Total Admin MPRD" dataDxfId="25">
      <calculatedColumnFormula>RANK(State112010[[#This Row],[Total Admin MPRD]],State112010[Total Admin MPRD])</calculatedColumnFormula>
    </tableColumn>
    <tableColumn id="12" xr3:uid="{A1DB05A7-8AFB-544A-B4C6-A1AC9581BCFF}" name="Total MedDir MPRD" dataDxfId="24">
      <calculatedColumnFormula>SUMIF([2]!NonNurse[STATE], State112010[[#This Row],[State]], [2]!NonNurse[Hrs_MedDir])/SUMIF([2]!NonNurse[STATE], State112010[[#This Row],[State]], [2]!NonNurse[MDScensus])*60</calculatedColumnFormula>
    </tableColumn>
    <tableColumn id="13" xr3:uid="{881C6DE5-CE34-B743-A813-B2DD51BBCE38}" name="Rank: Total MedDir MPRD" dataDxfId="23">
      <calculatedColumnFormula>RANK(State112010[[#This Row],[Total MedDir MPRD]],State112010[Total MedDir MPRD])</calculatedColumnFormula>
    </tableColumn>
    <tableColumn id="17" xr3:uid="{C43B10D7-E294-DB46-99B6-FA7654BF658A}" name="Total Pharmacist MPRD" dataDxfId="22">
      <calculatedColumnFormula>SUMIF([2]!NonNurse[STATE], State112010[[#This Row],[State]], [2]!NonNurse[Hrs_Pharmacist])/SUMIF([2]!NonNurse[STATE], State112010[[#This Row],[State]], [2]!NonNurse[MDScensus])*60</calculatedColumnFormula>
    </tableColumn>
    <tableColumn id="16" xr3:uid="{2863D71D-D757-D54B-883D-3AC81C27DDD1}" name="Rank: Total Pharmacist MPRD" dataDxfId="21">
      <calculatedColumnFormula>RANK(State112010[[#This Row],[Total Pharmacist MPRD]],State112010[Total Pharmacist MPRD])</calculatedColumnFormula>
    </tableColumn>
    <tableColumn id="9" xr3:uid="{B6258F9B-B5B8-C04E-A714-5F32B8F3A17C}" name="Total Social Work MPRD" dataDxfId="20">
      <calculatedColumnFormula>(SUMIF([2]!NonNurse[STATE], State112010[[#This Row],[State]], [2]!NonNurse[Hrs_SpcLangPath]) + SUMIF([2]!NonNurse[STATE], State112010[[#This Row],[State]], [2]!NonNurse[Hrs_QualSocWrk])) / SUMIF([2]!NonNurse[STATE], State112010[[#This Row],[State]], [2]!NonNurse[MDScensus]) * 60</calculatedColumnFormula>
    </tableColumn>
    <tableColumn id="11" xr3:uid="{768561DD-661E-0B43-B803-E0DB78CEE764}" name="Rank: Total Social Work MPRD" dataDxfId="19">
      <calculatedColumnFormula>RANK(State112010[[#This Row],[Total Social Work MPRD]],State112010[Total Social Work MPRD])</calculatedColumnFormula>
    </tableColumn>
    <tableColumn id="6" xr3:uid="{862C2B8A-77BA-D940-9891-F5F2EFA94A94}" name="Total OT MPRD" dataDxfId="18">
      <calculatedColumnFormula>(SUMIF([2]!NonNurse[STATE], State112010[[#This Row],[State]], [2]!NonNurse[MPRD: Combined Activities]) + SUMIF([2]!NonNurse[STATE], State112010[[#This Row],[State]], [2]!NonNurse[Hrs_OT]) + SUMIF([2]!NonNurse[STATE], State112010[[#This Row],[State]], [2]!NonNurse[Hrs_OTasst])) / SUMIF([2]!NonNurse[STATE], State112010[[#This Row],[State]], [2]!NonNurse[MDScensus]) * 60</calculatedColumnFormula>
    </tableColumn>
    <tableColumn id="8" xr3:uid="{C24B1CCD-0A02-8C4A-B71D-283FDCBF98DC}" name="Rank: Total OT MPRD" dataDxfId="17">
      <calculatedColumnFormula>RANK(State112010[[#This Row],[Total OT MPRD]],State112010[Total OT MPRD])</calculatedColumnFormula>
    </tableColumn>
    <tableColumn id="4" xr3:uid="{7B517F92-2868-2D4A-A8BB-BDB4FE62FE41}" name="Total PT MPRD" dataDxfId="16">
      <calculatedColumnFormula>(SUMIF([2]!NonNurse[STATE],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calculatedColumnFormula>
    </tableColumn>
    <tableColumn id="5" xr3:uid="{AA02756B-012F-1C43-A734-61F3B960166E}" name="Rank: Total PT MPRD" dataDxfId="15">
      <calculatedColumnFormula>RANK(State112010[[#This Row],[Total PT MPRD]],State112010[Total PT MPRD])</calculatedColumnFormula>
    </tableColumn>
    <tableColumn id="7" xr3:uid="{904CEDAE-6588-5E4C-BB0A-29386957CCDC}" name="Total Activities MPRD" dataDxfId="14">
      <calculatedColumnFormula>(SUMIF([2]!NonNurse[STATE], State112010[[#This Row],[State]], [2]!NonNurse[MPRD: Total Social Work]) + SUMIF([2]!NonNurse[STATE], State112010[[#This Row],[State]], [2]!NonNurse[Hrs_QualActvProf])) / SUMIF([2]!NonNurse[STATE], State112010[[#This Row],[State]], [2]!NonNurse[MDScensus]) * 60</calculatedColumnFormula>
    </tableColumn>
    <tableColumn id="3" xr3:uid="{99581B64-8E01-4442-9714-85127407985A}" name="Rank: Total Activities MPRD" dataDxfId="13">
      <calculatedColumnFormula>RANK(State112010[[#This Row],[Total Activities MPRD]], State112010[Total Activities MPRD])</calculatedColumnFormula>
    </tableColumn>
  </tableColumns>
  <tableStyleInfo name="TableStyleMedium19 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3.xml"/><Relationship Id="rId5" Type="http://schemas.openxmlformats.org/officeDocument/2006/relationships/table" Target="../tables/table10.xml"/><Relationship Id="rId4"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47AD-712D-8647-8AA9-D49D4D726A58}">
  <dimension ref="B2:AS55"/>
  <sheetViews>
    <sheetView tabSelected="1" zoomScaleNormal="100" workbookViewId="0"/>
  </sheetViews>
  <sheetFormatPr baseColWidth="10" defaultColWidth="8.83203125" defaultRowHeight="16" x14ac:dyDescent="0.2"/>
  <cols>
    <col min="1" max="1" width="3.5" style="1" customWidth="1"/>
    <col min="2" max="2" width="45" style="1" customWidth="1"/>
    <col min="3" max="4" width="20.5" style="1" customWidth="1"/>
    <col min="5" max="5" width="19.33203125" style="1" customWidth="1"/>
    <col min="6" max="7" width="9.6640625" style="1" customWidth="1"/>
    <col min="8" max="8" width="11.83203125" style="1" bestFit="1" customWidth="1"/>
    <col min="9" max="11" width="9.6640625" style="1" customWidth="1"/>
    <col min="12" max="12" width="12.1640625" style="1" bestFit="1" customWidth="1"/>
    <col min="13" max="19" width="9.6640625" style="1" customWidth="1"/>
    <col min="20" max="20" width="4.5" style="1" customWidth="1"/>
    <col min="21" max="21" width="9.6640625" style="1" customWidth="1"/>
    <col min="22" max="22" width="9.6640625" style="36" customWidth="1"/>
    <col min="23" max="23" width="11.83203125" style="36" bestFit="1" customWidth="1"/>
    <col min="24" max="26" width="9.6640625" style="1" customWidth="1"/>
    <col min="27" max="27" width="13.33203125" style="1" bestFit="1" customWidth="1"/>
    <col min="28" max="34" width="9.6640625" style="1" customWidth="1"/>
    <col min="35" max="35" width="5.5" style="1" customWidth="1"/>
    <col min="36" max="36" width="35.1640625" style="1" customWidth="1"/>
    <col min="37" max="37" width="12.5" style="1" customWidth="1"/>
    <col min="38" max="38" width="18.33203125" style="1" bestFit="1" customWidth="1"/>
    <col min="39" max="39" width="14.5" style="1" bestFit="1" customWidth="1"/>
    <col min="40" max="41" width="8.83203125" style="1"/>
    <col min="42" max="42" width="37.1640625" style="1" customWidth="1"/>
    <col min="43" max="43" width="11.5" style="1" customWidth="1"/>
    <col min="44" max="48" width="8.83203125" style="1"/>
    <col min="49" max="49" width="22.83203125" style="1" customWidth="1"/>
    <col min="50" max="50" width="16.5" style="1" customWidth="1"/>
    <col min="51" max="51" width="13.5" style="1" customWidth="1"/>
    <col min="52" max="16384" width="8.83203125" style="1"/>
  </cols>
  <sheetData>
    <row r="2" spans="2:45" ht="102" x14ac:dyDescent="0.2">
      <c r="B2" s="63" t="s">
        <v>187</v>
      </c>
      <c r="C2" s="63" t="s">
        <v>0</v>
      </c>
      <c r="D2" s="63" t="s">
        <v>1</v>
      </c>
      <c r="E2" s="64"/>
      <c r="F2" s="65" t="s">
        <v>2</v>
      </c>
      <c r="G2" s="65" t="s">
        <v>3</v>
      </c>
      <c r="H2" s="65" t="s">
        <v>4</v>
      </c>
      <c r="I2" s="65" t="s">
        <v>5</v>
      </c>
      <c r="J2" s="66" t="s">
        <v>6</v>
      </c>
      <c r="K2" s="66" t="s">
        <v>7</v>
      </c>
      <c r="L2" s="66" t="s">
        <v>8</v>
      </c>
      <c r="M2" s="65" t="s">
        <v>9</v>
      </c>
      <c r="N2" s="62" t="s">
        <v>10</v>
      </c>
      <c r="O2" s="62" t="s">
        <v>11</v>
      </c>
      <c r="P2" s="67" t="s">
        <v>12</v>
      </c>
      <c r="Q2" s="66" t="s">
        <v>13</v>
      </c>
      <c r="R2" s="67" t="s">
        <v>14</v>
      </c>
      <c r="S2" s="66" t="s">
        <v>15</v>
      </c>
      <c r="T2" s="65"/>
      <c r="U2" s="65" t="s">
        <v>16</v>
      </c>
      <c r="V2" s="65" t="s">
        <v>3</v>
      </c>
      <c r="W2" s="65" t="s">
        <v>4</v>
      </c>
      <c r="X2" s="65" t="s">
        <v>5</v>
      </c>
      <c r="Y2" s="66" t="s">
        <v>6</v>
      </c>
      <c r="Z2" s="66" t="s">
        <v>7</v>
      </c>
      <c r="AA2" s="66" t="s">
        <v>8</v>
      </c>
      <c r="AB2" s="65" t="s">
        <v>9</v>
      </c>
      <c r="AC2" s="65" t="s">
        <v>10</v>
      </c>
      <c r="AD2" s="65" t="s">
        <v>11</v>
      </c>
      <c r="AE2" s="67" t="s">
        <v>12</v>
      </c>
      <c r="AF2" s="66" t="s">
        <v>13</v>
      </c>
      <c r="AG2" s="67" t="s">
        <v>14</v>
      </c>
      <c r="AH2" s="66" t="s">
        <v>15</v>
      </c>
      <c r="AJ2" s="61" t="s">
        <v>17</v>
      </c>
      <c r="AK2" s="61" t="s">
        <v>18</v>
      </c>
      <c r="AL2" s="62" t="s">
        <v>19</v>
      </c>
      <c r="AM2" s="62" t="s">
        <v>20</v>
      </c>
    </row>
    <row r="3" spans="2:45" x14ac:dyDescent="0.2">
      <c r="B3" s="12" t="s">
        <v>5</v>
      </c>
      <c r="C3" s="13">
        <f>SUM([1]!Nurse[Total Nurse Staff Hours])/SUM([1]!Nurse[MDScensus])</f>
        <v>3.7464594357058272</v>
      </c>
      <c r="D3" s="13">
        <f>MEDIAN([1]!Nurse[Total Nurse Staff HPRD])</f>
        <v>3.6812063181436958</v>
      </c>
      <c r="E3" s="15"/>
      <c r="F3" s="1">
        <v>1</v>
      </c>
      <c r="G3" s="16">
        <v>73524.588888888931</v>
      </c>
      <c r="H3" s="16">
        <v>783</v>
      </c>
      <c r="I3" s="17">
        <v>3.8031730216331292</v>
      </c>
      <c r="J3" s="16">
        <v>4</v>
      </c>
      <c r="K3" s="37">
        <v>4.94115337464196</v>
      </c>
      <c r="L3" s="38">
        <v>-0.23030662412726458</v>
      </c>
      <c r="M3" s="38">
        <v>0.2707535121328225</v>
      </c>
      <c r="N3" s="38">
        <v>0.74329501915708818</v>
      </c>
      <c r="O3" s="38">
        <v>0.3550446998722861</v>
      </c>
      <c r="P3" s="39">
        <v>0.66909937008223785</v>
      </c>
      <c r="Q3" s="16">
        <v>4</v>
      </c>
      <c r="R3" s="38">
        <v>6.9347029241039748E-2</v>
      </c>
      <c r="S3" s="16">
        <v>4</v>
      </c>
      <c r="U3" s="23" t="s">
        <v>21</v>
      </c>
      <c r="V3" s="16">
        <v>656.37777777777774</v>
      </c>
      <c r="W3" s="16">
        <v>15</v>
      </c>
      <c r="X3" s="17">
        <v>5.727646003317874</v>
      </c>
      <c r="Y3" s="36">
        <v>1</v>
      </c>
      <c r="Z3" s="39">
        <v>4.9292832012516792</v>
      </c>
      <c r="AA3" s="40">
        <v>0.16196326513832046</v>
      </c>
      <c r="AB3" s="38">
        <v>1</v>
      </c>
      <c r="AC3" s="38">
        <v>1</v>
      </c>
      <c r="AD3" s="38">
        <v>1</v>
      </c>
      <c r="AE3" s="39">
        <v>1.7215379016149237</v>
      </c>
      <c r="AF3" s="36">
        <v>2</v>
      </c>
      <c r="AG3" s="38">
        <v>0.12817305825810857</v>
      </c>
      <c r="AH3" s="36">
        <v>4</v>
      </c>
      <c r="AJ3" s="41" t="s">
        <v>22</v>
      </c>
      <c r="AK3" s="16">
        <v>4688163.1521111261</v>
      </c>
      <c r="AL3" s="42" t="s">
        <v>23</v>
      </c>
      <c r="AM3" s="17">
        <v>3.7464594357058272</v>
      </c>
    </row>
    <row r="4" spans="2:45" x14ac:dyDescent="0.2">
      <c r="B4" s="18" t="s">
        <v>24</v>
      </c>
      <c r="C4" s="13">
        <f>SUM([1]!Nurse[Total Nurse Care Staff Hours (excl. Admin/DON)])/SUM([1]!Nurse[MDScensus])</f>
        <v>3.4769860431129023</v>
      </c>
      <c r="D4" s="13">
        <f>MEDIAN([1]!Nurse[Total Nurse Care Staff HPRD (excl. Admin/DON)])</f>
        <v>3.3955342513508802</v>
      </c>
      <c r="E4" s="15"/>
      <c r="F4" s="1">
        <v>2</v>
      </c>
      <c r="G4" s="16">
        <v>141454.15555555536</v>
      </c>
      <c r="H4" s="16">
        <v>945</v>
      </c>
      <c r="I4" s="17">
        <v>3.5884989074591505</v>
      </c>
      <c r="J4" s="16">
        <v>9</v>
      </c>
      <c r="K4" s="37">
        <v>5.0221469753147883</v>
      </c>
      <c r="L4" s="38">
        <v>-0.28546517553197986</v>
      </c>
      <c r="M4" s="38">
        <v>0.19470899470899472</v>
      </c>
      <c r="N4" s="38">
        <v>0.54920634920634925</v>
      </c>
      <c r="O4" s="38">
        <v>0.29206349206349208</v>
      </c>
      <c r="P4" s="39">
        <v>0.65872328247063128</v>
      </c>
      <c r="Q4" s="16">
        <v>6</v>
      </c>
      <c r="R4" s="38">
        <v>0.10345187122342167</v>
      </c>
      <c r="S4" s="16">
        <v>1</v>
      </c>
      <c r="U4" s="23" t="s">
        <v>25</v>
      </c>
      <c r="V4" s="16">
        <v>21926.3</v>
      </c>
      <c r="W4" s="16">
        <v>223</v>
      </c>
      <c r="X4" s="17">
        <v>3.8797252614440203</v>
      </c>
      <c r="Y4" s="36">
        <v>21</v>
      </c>
      <c r="Z4" s="39">
        <v>4.7473542577286567</v>
      </c>
      <c r="AA4" s="38">
        <v>-0.18276053337964887</v>
      </c>
      <c r="AB4" s="38">
        <v>0.31838565022421522</v>
      </c>
      <c r="AC4" s="38">
        <v>0.74439461883408076</v>
      </c>
      <c r="AD4" s="38">
        <v>0.23766816143497757</v>
      </c>
      <c r="AE4" s="39">
        <v>0.62571491263409196</v>
      </c>
      <c r="AF4" s="36">
        <v>34</v>
      </c>
      <c r="AG4" s="38">
        <v>8.6949452658916671E-3</v>
      </c>
      <c r="AH4" s="36">
        <v>52</v>
      </c>
      <c r="AJ4" s="43" t="s">
        <v>26</v>
      </c>
      <c r="AK4" s="16">
        <v>4350955.3826666623</v>
      </c>
      <c r="AL4" s="42">
        <v>0.92807251827560311</v>
      </c>
      <c r="AM4" s="17">
        <v>3.4769860431129023</v>
      </c>
    </row>
    <row r="5" spans="2:45" x14ac:dyDescent="0.2">
      <c r="B5" s="21" t="s">
        <v>27</v>
      </c>
      <c r="C5" s="44">
        <f>SUM([1]!Nurse[Total RN Hours (w/ Admin, DON)])/SUM([1]!Nurse[MDScensus])</f>
        <v>0.62403891831390201</v>
      </c>
      <c r="D5" s="22">
        <f>MEDIAN([1]!Nurse[Total RN Staff HPRD])</f>
        <v>0.58418973837947674</v>
      </c>
      <c r="E5" s="15"/>
      <c r="F5" s="1">
        <v>3</v>
      </c>
      <c r="G5" s="16">
        <v>135012.48888888911</v>
      </c>
      <c r="H5" s="16">
        <v>1330</v>
      </c>
      <c r="I5" s="17">
        <v>3.6823315423330309</v>
      </c>
      <c r="J5" s="16">
        <v>6</v>
      </c>
      <c r="K5" s="37">
        <v>4.948653991768631</v>
      </c>
      <c r="L5" s="38">
        <v>-0.25589229951052223</v>
      </c>
      <c r="M5" s="38">
        <v>0.24887218045112783</v>
      </c>
      <c r="N5" s="38">
        <v>0.60075187969924815</v>
      </c>
      <c r="O5" s="38">
        <v>0.37067669172932333</v>
      </c>
      <c r="P5" s="39">
        <v>0.66320240168728273</v>
      </c>
      <c r="Q5" s="16">
        <v>5</v>
      </c>
      <c r="R5" s="38">
        <v>8.7736153259072094E-2</v>
      </c>
      <c r="S5" s="16">
        <v>2</v>
      </c>
      <c r="U5" s="23" t="s">
        <v>28</v>
      </c>
      <c r="V5" s="16">
        <v>16892.411111111112</v>
      </c>
      <c r="W5" s="16">
        <v>218</v>
      </c>
      <c r="X5" s="17">
        <v>4.0478026161649181</v>
      </c>
      <c r="Y5" s="36">
        <v>14</v>
      </c>
      <c r="Z5" s="39">
        <v>4.7135117334130268</v>
      </c>
      <c r="AA5" s="38">
        <v>-0.1412342123875594</v>
      </c>
      <c r="AB5" s="38">
        <v>0.3669724770642202</v>
      </c>
      <c r="AC5" s="38">
        <v>0.85321100917431192</v>
      </c>
      <c r="AD5" s="38">
        <v>4.1284403669724773E-2</v>
      </c>
      <c r="AE5" s="39">
        <v>0.39698067574065121</v>
      </c>
      <c r="AF5" s="36">
        <v>50</v>
      </c>
      <c r="AG5" s="38">
        <v>1.964494592266405E-2</v>
      </c>
      <c r="AH5" s="36">
        <v>50</v>
      </c>
      <c r="AJ5" s="41" t="s">
        <v>29</v>
      </c>
      <c r="AK5" s="16">
        <v>780896.28688888834</v>
      </c>
      <c r="AL5" s="42">
        <v>0.16656764313700198</v>
      </c>
      <c r="AM5" s="17">
        <v>0.62403891831390201</v>
      </c>
      <c r="AN5" s="20"/>
      <c r="AO5" s="20"/>
      <c r="AR5" s="20"/>
      <c r="AS5" s="20"/>
    </row>
    <row r="6" spans="2:45" x14ac:dyDescent="0.2">
      <c r="B6" s="18" t="s">
        <v>30</v>
      </c>
      <c r="C6" s="19">
        <f>SUM([1]!Nurse[Hrs_RN])/SUM([1]!Nurse[MDScensus])</f>
        <v>0.43794104349613089</v>
      </c>
      <c r="D6" s="13">
        <f>MEDIAN([1]!Nurse[Total RN Care Staff HPRD (excl. Admin/DON)])</f>
        <v>0.39117538005190949</v>
      </c>
      <c r="E6" s="23"/>
      <c r="F6" s="1">
        <v>4</v>
      </c>
      <c r="G6" s="16">
        <v>243273.46666666653</v>
      </c>
      <c r="H6" s="16">
        <v>2615</v>
      </c>
      <c r="I6" s="17">
        <v>3.7390614174848098</v>
      </c>
      <c r="J6" s="16">
        <v>5</v>
      </c>
      <c r="K6" s="37">
        <v>4.9273053570459266</v>
      </c>
      <c r="L6" s="38">
        <v>-0.24115492210401715</v>
      </c>
      <c r="M6" s="38">
        <v>0.23288718929254301</v>
      </c>
      <c r="N6" s="38">
        <v>0.64741873804971317</v>
      </c>
      <c r="O6" s="38">
        <v>0.25315487571701722</v>
      </c>
      <c r="P6" s="39">
        <v>0.605888263742696</v>
      </c>
      <c r="Q6" s="16">
        <v>8</v>
      </c>
      <c r="R6" s="38">
        <v>3.6130606579994465E-2</v>
      </c>
      <c r="S6" s="16">
        <v>8</v>
      </c>
      <c r="U6" s="23" t="s">
        <v>31</v>
      </c>
      <c r="V6" s="16">
        <v>12256.288888888881</v>
      </c>
      <c r="W6" s="16">
        <v>139</v>
      </c>
      <c r="X6" s="17">
        <v>3.8739695358210704</v>
      </c>
      <c r="Y6" s="36">
        <v>23</v>
      </c>
      <c r="Z6" s="39">
        <v>5.0302731614885561</v>
      </c>
      <c r="AA6" s="38">
        <v>-0.22986895314554107</v>
      </c>
      <c r="AB6" s="38">
        <v>0.33093525179856115</v>
      </c>
      <c r="AC6" s="38">
        <v>0.67625899280575541</v>
      </c>
      <c r="AD6" s="38">
        <v>0.30215827338129497</v>
      </c>
      <c r="AE6" s="39">
        <v>0.62839179160630487</v>
      </c>
      <c r="AF6" s="36">
        <v>33</v>
      </c>
      <c r="AG6" s="38">
        <v>3.2998667373102634E-2</v>
      </c>
      <c r="AH6" s="36">
        <v>42</v>
      </c>
      <c r="AJ6" s="45" t="s">
        <v>32</v>
      </c>
      <c r="AK6" s="16">
        <v>548021.16455555556</v>
      </c>
      <c r="AL6" s="42">
        <v>0.11689464440007302</v>
      </c>
      <c r="AM6" s="17">
        <v>0.43794104349613089</v>
      </c>
      <c r="AN6" s="20"/>
      <c r="AO6" s="20"/>
      <c r="AR6" s="20"/>
      <c r="AS6" s="20"/>
    </row>
    <row r="7" spans="2:45" x14ac:dyDescent="0.2">
      <c r="B7" s="46" t="s">
        <v>33</v>
      </c>
      <c r="C7" s="47">
        <f>SUM([1]!Nurse[Total Contract Hours])/SUM([1]!Nurse[Total Nurse Staff Hours])</f>
        <v>5.3125695887254708E-2</v>
      </c>
      <c r="D7" s="47">
        <f>MEDIAN([1]!Nurse[% Total Nurse Contract])/100</f>
        <v>3.1888009311298718E-5</v>
      </c>
      <c r="E7" s="23"/>
      <c r="F7" s="1">
        <v>5</v>
      </c>
      <c r="G7" s="16">
        <v>241095.62222222192</v>
      </c>
      <c r="H7" s="16">
        <v>3154</v>
      </c>
      <c r="I7" s="17">
        <v>3.6715378416475217</v>
      </c>
      <c r="J7" s="16">
        <v>7</v>
      </c>
      <c r="K7" s="37">
        <v>5.0832584737300834</v>
      </c>
      <c r="L7" s="38">
        <v>-0.27771962401247802</v>
      </c>
      <c r="M7" s="38">
        <v>0.25681674064679771</v>
      </c>
      <c r="N7" s="38">
        <v>0.6103360811667724</v>
      </c>
      <c r="O7" s="38">
        <v>0.40456563094483194</v>
      </c>
      <c r="P7" s="39">
        <v>0.69656262065867425</v>
      </c>
      <c r="Q7" s="16">
        <v>3</v>
      </c>
      <c r="R7" s="38">
        <v>4.7994865821220353E-2</v>
      </c>
      <c r="S7" s="16">
        <v>6</v>
      </c>
      <c r="U7" s="23" t="s">
        <v>34</v>
      </c>
      <c r="V7" s="16">
        <v>101160.75555555553</v>
      </c>
      <c r="W7" s="16">
        <v>1142</v>
      </c>
      <c r="X7" s="17">
        <v>4.3645338870980721</v>
      </c>
      <c r="Y7" s="36">
        <v>6</v>
      </c>
      <c r="Z7" s="39">
        <v>5.0741621406744786</v>
      </c>
      <c r="AA7" s="38">
        <v>-0.13985131611937016</v>
      </c>
      <c r="AB7" s="38">
        <v>0.63572679509632224</v>
      </c>
      <c r="AC7" s="38">
        <v>0.98161120840630478</v>
      </c>
      <c r="AD7" s="38">
        <v>0.22854640980735552</v>
      </c>
      <c r="AE7" s="39">
        <v>0.58863330290138927</v>
      </c>
      <c r="AF7" s="36">
        <v>42</v>
      </c>
      <c r="AG7" s="38">
        <v>2.2729947792161587E-2</v>
      </c>
      <c r="AH7" s="36">
        <v>47</v>
      </c>
      <c r="AJ7" s="45" t="s">
        <v>35</v>
      </c>
      <c r="AK7" s="16">
        <v>157420.9841111119</v>
      </c>
      <c r="AL7" s="42">
        <v>3.3578392859519766E-2</v>
      </c>
      <c r="AM7" s="17">
        <v>0.12580008676438498</v>
      </c>
      <c r="AN7" s="20"/>
      <c r="AO7" s="20"/>
      <c r="AP7" s="20"/>
      <c r="AQ7" s="20"/>
      <c r="AR7" s="20"/>
      <c r="AS7" s="20"/>
    </row>
    <row r="8" spans="2:45" x14ac:dyDescent="0.2">
      <c r="B8" s="48" t="s">
        <v>36</v>
      </c>
      <c r="C8" s="49">
        <f>COUNTIF([1]!Nurse[Total Nurse Staff HPRD], "&gt;=4.1")/COUNTA([1]!Nurse[PROVNAME])</f>
        <v>0.28204597225098366</v>
      </c>
      <c r="D8" s="49" t="s">
        <v>37</v>
      </c>
      <c r="F8" s="1">
        <v>6</v>
      </c>
      <c r="G8" s="16">
        <v>150988.00000000026</v>
      </c>
      <c r="H8" s="16">
        <v>1975</v>
      </c>
      <c r="I8" s="17">
        <v>3.5189306773459488</v>
      </c>
      <c r="J8" s="16">
        <v>10</v>
      </c>
      <c r="K8" s="37">
        <v>4.826238653361516</v>
      </c>
      <c r="L8" s="38">
        <v>-0.27087512033931771</v>
      </c>
      <c r="M8" s="38">
        <v>0.15544303797468353</v>
      </c>
      <c r="N8" s="38">
        <v>0.45468354430379748</v>
      </c>
      <c r="O8" s="38">
        <v>5.9240506329113922E-2</v>
      </c>
      <c r="P8" s="39">
        <v>0.37938572013081179</v>
      </c>
      <c r="Q8" s="16">
        <v>10</v>
      </c>
      <c r="R8" s="38">
        <v>2.8603890978818033E-2</v>
      </c>
      <c r="S8" s="16">
        <v>9</v>
      </c>
      <c r="U8" s="23" t="s">
        <v>38</v>
      </c>
      <c r="V8" s="16">
        <v>15668.13333333333</v>
      </c>
      <c r="W8" s="16">
        <v>208</v>
      </c>
      <c r="X8" s="17">
        <v>3.5855126754091096</v>
      </c>
      <c r="Y8" s="36">
        <v>43</v>
      </c>
      <c r="Z8" s="39">
        <v>4.8462726444602957</v>
      </c>
      <c r="AA8" s="38">
        <v>-0.26015044169921858</v>
      </c>
      <c r="AB8" s="38">
        <v>0.24038461538461539</v>
      </c>
      <c r="AC8" s="38">
        <v>0.49519230769230771</v>
      </c>
      <c r="AD8" s="38">
        <v>0.48076923076923078</v>
      </c>
      <c r="AE8" s="39">
        <v>0.76039434606121992</v>
      </c>
      <c r="AF8" s="36">
        <v>18</v>
      </c>
      <c r="AG8" s="38">
        <v>5.9337078916225763E-2</v>
      </c>
      <c r="AH8" s="36">
        <v>23</v>
      </c>
      <c r="AJ8" s="45" t="s">
        <v>39</v>
      </c>
      <c r="AK8" s="16">
        <v>75454.13822222146</v>
      </c>
      <c r="AL8" s="42">
        <v>1.6094605877409303E-2</v>
      </c>
      <c r="AM8" s="17">
        <v>6.029778805338655E-2</v>
      </c>
      <c r="AN8" s="20"/>
      <c r="AO8" s="20"/>
      <c r="AP8" s="20"/>
      <c r="AQ8" s="20"/>
      <c r="AR8" s="20"/>
      <c r="AS8" s="20"/>
    </row>
    <row r="9" spans="2:45" x14ac:dyDescent="0.2">
      <c r="B9" s="48" t="s">
        <v>40</v>
      </c>
      <c r="C9" s="50">
        <f>COUNTIF([1]!Nurse[Total Nurse Staff HPRD], "&gt;=3.48")/COUNTA([1]!Nurse[PROVNAME])</f>
        <v>0.64002208876924138</v>
      </c>
      <c r="D9" s="1" t="s">
        <v>37</v>
      </c>
      <c r="F9" s="1">
        <v>7</v>
      </c>
      <c r="G9" s="16">
        <v>79810.344444444505</v>
      </c>
      <c r="H9" s="16">
        <v>1330</v>
      </c>
      <c r="I9" s="17">
        <v>3.6623586736389271</v>
      </c>
      <c r="J9" s="16">
        <v>8</v>
      </c>
      <c r="K9" s="37">
        <v>4.8267491973852046</v>
      </c>
      <c r="L9" s="38">
        <v>-0.24123700572158646</v>
      </c>
      <c r="M9" s="38">
        <v>0.27067669172932329</v>
      </c>
      <c r="N9" s="38">
        <v>0.61503759398496238</v>
      </c>
      <c r="O9" s="38">
        <v>0.26390977443609021</v>
      </c>
      <c r="P9" s="39">
        <v>0.56266740415576855</v>
      </c>
      <c r="Q9" s="16">
        <v>9</v>
      </c>
      <c r="R9" s="38">
        <v>4.6924259181239172E-2</v>
      </c>
      <c r="S9" s="16">
        <v>7</v>
      </c>
      <c r="U9" s="23" t="s">
        <v>41</v>
      </c>
      <c r="V9" s="16">
        <v>19698.377777777772</v>
      </c>
      <c r="W9" s="16">
        <v>190</v>
      </c>
      <c r="X9" s="17">
        <v>3.6616074984178089</v>
      </c>
      <c r="Y9" s="36">
        <v>36</v>
      </c>
      <c r="Z9" s="39">
        <v>4.9167841089647135</v>
      </c>
      <c r="AA9" s="38">
        <v>-0.25528406021699351</v>
      </c>
      <c r="AB9" s="38">
        <v>0.21052631578947367</v>
      </c>
      <c r="AC9" s="38">
        <v>0.68421052631578949</v>
      </c>
      <c r="AD9" s="38">
        <v>0.28947368421052633</v>
      </c>
      <c r="AE9" s="39">
        <v>0.6138941898204815</v>
      </c>
      <c r="AF9" s="36">
        <v>37</v>
      </c>
      <c r="AG9" s="38">
        <v>5.9686799443980157E-2</v>
      </c>
      <c r="AH9" s="36">
        <v>22</v>
      </c>
      <c r="AJ9" s="41" t="s">
        <v>42</v>
      </c>
      <c r="AK9" s="16">
        <v>1075255.0709999977</v>
      </c>
      <c r="AL9" s="42">
        <v>0.22935530102355753</v>
      </c>
      <c r="AM9" s="17">
        <v>0.85927033164885747</v>
      </c>
      <c r="AN9" s="20"/>
      <c r="AO9" s="20"/>
      <c r="AP9" s="20"/>
      <c r="AQ9" s="20"/>
      <c r="AR9" s="20"/>
      <c r="AS9" s="20"/>
    </row>
    <row r="10" spans="2:45" x14ac:dyDescent="0.2">
      <c r="B10" s="48" t="s">
        <v>43</v>
      </c>
      <c r="C10" s="50">
        <f>COUNTIF([1]!Nurse[Total RN Staff HPRD], "&gt;=0.75")/COUNTA([1]!Nurse[PROVNAME])</f>
        <v>0.30344446745357906</v>
      </c>
      <c r="D10" s="1" t="s">
        <v>37</v>
      </c>
      <c r="F10" s="1">
        <v>8</v>
      </c>
      <c r="G10" s="16">
        <v>36269.30000000001</v>
      </c>
      <c r="H10" s="16">
        <v>562</v>
      </c>
      <c r="I10" s="17">
        <v>3.8158529420504714</v>
      </c>
      <c r="J10" s="16">
        <v>3</v>
      </c>
      <c r="K10" s="37">
        <v>4.8485085533112784</v>
      </c>
      <c r="L10" s="38">
        <v>-0.21298417851723847</v>
      </c>
      <c r="M10" s="38">
        <v>0.3291814946619217</v>
      </c>
      <c r="N10" s="38">
        <v>0.62633451957295372</v>
      </c>
      <c r="O10" s="38">
        <v>0.59430604982206403</v>
      </c>
      <c r="P10" s="39">
        <v>0.85822725188152693</v>
      </c>
      <c r="Q10" s="16">
        <v>1</v>
      </c>
      <c r="R10" s="38">
        <v>7.3042702809525864E-2</v>
      </c>
      <c r="S10" s="16">
        <v>3</v>
      </c>
      <c r="U10" s="23" t="s">
        <v>44</v>
      </c>
      <c r="V10" s="16">
        <v>2030.4777777777781</v>
      </c>
      <c r="W10" s="16">
        <v>16</v>
      </c>
      <c r="X10" s="17">
        <v>4.4348204855999942</v>
      </c>
      <c r="Y10" s="36">
        <v>5</v>
      </c>
      <c r="Z10" s="39">
        <v>5.0058738077490297</v>
      </c>
      <c r="AA10" s="38">
        <v>-0.11407665156581696</v>
      </c>
      <c r="AB10" s="38">
        <v>0.6875</v>
      </c>
      <c r="AC10" s="38">
        <v>0.9375</v>
      </c>
      <c r="AD10" s="38">
        <v>1</v>
      </c>
      <c r="AE10" s="39">
        <v>1.2666959609944015</v>
      </c>
      <c r="AF10" s="36">
        <v>4</v>
      </c>
      <c r="AG10" s="38">
        <v>6.7007735623600462E-2</v>
      </c>
      <c r="AH10" s="36">
        <v>19</v>
      </c>
      <c r="AJ10" s="45" t="s">
        <v>45</v>
      </c>
      <c r="AK10" s="16">
        <v>970922.42388888553</v>
      </c>
      <c r="AL10" s="42">
        <v>0.20710081803609365</v>
      </c>
      <c r="AM10" s="17">
        <v>0.77589481387371861</v>
      </c>
      <c r="AN10" s="20"/>
      <c r="AO10" s="20"/>
      <c r="AP10" s="20"/>
      <c r="AQ10" s="20"/>
      <c r="AR10" s="20"/>
      <c r="AS10" s="20"/>
    </row>
    <row r="11" spans="2:45" x14ac:dyDescent="0.2">
      <c r="B11" s="48" t="s">
        <v>46</v>
      </c>
      <c r="C11" s="50">
        <f>COUNTIFS([1]!Nurse[Total Nurse Staff HPRD], "&gt;=3.48", [1]!Nurse[Total RN Staff HPRD], "&gt;=0.75")/COUNTA([1]!Nurse[PROVNAME])</f>
        <v>0.26202802512597501</v>
      </c>
      <c r="D11" s="1" t="s">
        <v>37</v>
      </c>
      <c r="F11" s="1">
        <v>9</v>
      </c>
      <c r="G11" s="16">
        <v>123033.3333333333</v>
      </c>
      <c r="H11" s="16">
        <v>1387</v>
      </c>
      <c r="I11" s="17">
        <v>4.2989357319606238</v>
      </c>
      <c r="J11" s="16">
        <v>2</v>
      </c>
      <c r="K11" s="37">
        <v>5.0709689816694494</v>
      </c>
      <c r="L11" s="38">
        <v>-0.15224570540651564</v>
      </c>
      <c r="M11" s="38">
        <v>0.59913482335976931</v>
      </c>
      <c r="N11" s="38">
        <v>0.93871665465032439</v>
      </c>
      <c r="O11" s="38">
        <v>0.27469358327325161</v>
      </c>
      <c r="P11" s="39">
        <v>0.63374590445227197</v>
      </c>
      <c r="Q11" s="16">
        <v>7</v>
      </c>
      <c r="R11" s="38">
        <v>2.5221946775266173E-2</v>
      </c>
      <c r="S11" s="16">
        <v>10</v>
      </c>
      <c r="U11" s="23" t="s">
        <v>47</v>
      </c>
      <c r="V11" s="16">
        <v>3847.2333333333331</v>
      </c>
      <c r="W11" s="16">
        <v>42</v>
      </c>
      <c r="X11" s="17">
        <v>4.0499107294996977</v>
      </c>
      <c r="Y11" s="36">
        <v>13</v>
      </c>
      <c r="Z11" s="39">
        <v>4.9127833577615192</v>
      </c>
      <c r="AA11" s="38">
        <v>-0.17563824118126478</v>
      </c>
      <c r="AB11" s="38">
        <v>0.30952380952380953</v>
      </c>
      <c r="AC11" s="38">
        <v>1</v>
      </c>
      <c r="AD11" s="38">
        <v>0.59523809523809523</v>
      </c>
      <c r="AE11" s="39">
        <v>0.78623683397304278</v>
      </c>
      <c r="AF11" s="36">
        <v>17</v>
      </c>
      <c r="AG11" s="38">
        <v>5.7314713712678399E-2</v>
      </c>
      <c r="AH11" s="36">
        <v>24</v>
      </c>
      <c r="AJ11" s="45" t="s">
        <v>48</v>
      </c>
      <c r="AK11" s="16">
        <v>104332.64711111157</v>
      </c>
      <c r="AL11" s="42">
        <v>2.2254482987463766E-2</v>
      </c>
      <c r="AM11" s="17">
        <v>8.3375517775138436E-2</v>
      </c>
      <c r="AN11" s="20"/>
      <c r="AO11" s="20"/>
      <c r="AP11" s="20"/>
      <c r="AQ11" s="20"/>
      <c r="AR11" s="20"/>
      <c r="AS11" s="20"/>
    </row>
    <row r="12" spans="2:45" ht="15" customHeight="1" x14ac:dyDescent="0.2">
      <c r="B12" s="51" t="s">
        <v>3</v>
      </c>
      <c r="C12" s="52">
        <f>SUM([1]!Nurse[MDScensus])</f>
        <v>1251358.31111111</v>
      </c>
      <c r="D12" s="52" t="s">
        <v>37</v>
      </c>
      <c r="F12" s="1">
        <v>10</v>
      </c>
      <c r="G12" s="16">
        <v>26897.011111111122</v>
      </c>
      <c r="H12" s="16">
        <v>406</v>
      </c>
      <c r="I12" s="17">
        <v>4.3886042108767951</v>
      </c>
      <c r="J12" s="16">
        <v>1</v>
      </c>
      <c r="K12" s="37">
        <v>5.0062403426114654</v>
      </c>
      <c r="L12" s="38">
        <v>-0.12337324807951297</v>
      </c>
      <c r="M12" s="38">
        <v>0.63300492610837433</v>
      </c>
      <c r="N12" s="38">
        <v>0.94581280788177335</v>
      </c>
      <c r="O12" s="38">
        <v>0.56157635467980294</v>
      </c>
      <c r="P12" s="39">
        <v>0.83124471079190554</v>
      </c>
      <c r="Q12" s="16">
        <v>2</v>
      </c>
      <c r="R12" s="38">
        <v>4.9360294660706683E-2</v>
      </c>
      <c r="S12" s="16">
        <v>5</v>
      </c>
      <c r="U12" s="23" t="s">
        <v>49</v>
      </c>
      <c r="V12" s="16">
        <v>74939.533333333326</v>
      </c>
      <c r="W12" s="16">
        <v>686</v>
      </c>
      <c r="X12" s="17">
        <v>3.7640520579702934</v>
      </c>
      <c r="Y12" s="36">
        <v>29</v>
      </c>
      <c r="Z12" s="39">
        <v>4.8944855291210656</v>
      </c>
      <c r="AA12" s="38">
        <v>-0.23096063200615313</v>
      </c>
      <c r="AB12" s="38">
        <v>0.19096209912536444</v>
      </c>
      <c r="AC12" s="38">
        <v>0.71720116618075802</v>
      </c>
      <c r="AD12" s="38">
        <v>0.34548104956268222</v>
      </c>
      <c r="AE12" s="39">
        <v>0.69890211189524987</v>
      </c>
      <c r="AF12" s="36">
        <v>24</v>
      </c>
      <c r="AG12" s="38">
        <v>1.1395798276871453E-2</v>
      </c>
      <c r="AH12" s="36">
        <v>51</v>
      </c>
      <c r="AJ12" s="41" t="s">
        <v>50</v>
      </c>
      <c r="AK12" s="16">
        <v>2832011.7942222096</v>
      </c>
      <c r="AL12" s="42">
        <v>0.60407705583943394</v>
      </c>
      <c r="AM12" s="17">
        <v>2.2631501857430432</v>
      </c>
      <c r="AN12" s="20"/>
      <c r="AO12" s="20"/>
      <c r="AP12" s="20"/>
      <c r="AQ12" s="20"/>
      <c r="AR12" s="20"/>
      <c r="AS12" s="20"/>
    </row>
    <row r="13" spans="2:45" ht="15" customHeight="1" x14ac:dyDescent="0.2">
      <c r="B13" s="51" t="s">
        <v>51</v>
      </c>
      <c r="C13" s="52">
        <f>COUNTA([1]!Nurse[PROVNAME])</f>
        <v>14487</v>
      </c>
      <c r="D13" s="52" t="s">
        <v>37</v>
      </c>
      <c r="E13" s="53"/>
      <c r="J13" s="16"/>
      <c r="K13" s="16"/>
      <c r="L13" s="16"/>
      <c r="M13" s="16"/>
      <c r="N13" s="16"/>
      <c r="O13" s="16"/>
      <c r="P13" s="16"/>
      <c r="Q13" s="16"/>
      <c r="R13" s="16"/>
      <c r="S13" s="16"/>
      <c r="U13" s="23" t="s">
        <v>52</v>
      </c>
      <c r="V13" s="16">
        <v>31544.199999999997</v>
      </c>
      <c r="W13" s="16">
        <v>349</v>
      </c>
      <c r="X13" s="17">
        <v>3.4951306033368348</v>
      </c>
      <c r="Y13" s="36">
        <v>48</v>
      </c>
      <c r="Z13" s="39">
        <v>5.0365461558779021</v>
      </c>
      <c r="AA13" s="38">
        <v>-0.30604614845873257</v>
      </c>
      <c r="AB13" s="38">
        <v>0.14326647564469913</v>
      </c>
      <c r="AC13" s="38">
        <v>0.46418338108882523</v>
      </c>
      <c r="AD13" s="38">
        <v>0.12320916905444126</v>
      </c>
      <c r="AE13" s="39">
        <v>0.46439420453416669</v>
      </c>
      <c r="AF13" s="36">
        <v>47</v>
      </c>
      <c r="AG13" s="38">
        <v>3.3094863920272811E-2</v>
      </c>
      <c r="AH13" s="36">
        <v>41</v>
      </c>
      <c r="AJ13" s="45" t="s">
        <v>53</v>
      </c>
      <c r="AK13" s="16">
        <v>2656335.5321111013</v>
      </c>
      <c r="AL13" s="42">
        <v>0.56660475455401482</v>
      </c>
      <c r="AM13" s="17">
        <v>2.1227617290146732</v>
      </c>
      <c r="AN13" s="20"/>
      <c r="AO13" s="20"/>
      <c r="AP13" s="20"/>
      <c r="AQ13" s="20"/>
      <c r="AR13" s="20"/>
      <c r="AS13" s="20"/>
    </row>
    <row r="14" spans="2:45" x14ac:dyDescent="0.2">
      <c r="B14" s="12" t="s">
        <v>54</v>
      </c>
      <c r="C14" s="13">
        <f>AVERAGE([1]!Nurse[MDScensus])</f>
        <v>86.378015538835513</v>
      </c>
      <c r="D14" s="54">
        <f>MEDIAN([1]!Nurse[MDScensus])</f>
        <v>78.711111111111109</v>
      </c>
      <c r="F14" s="31"/>
      <c r="G14" s="17"/>
      <c r="H14" s="55"/>
      <c r="J14" s="16"/>
      <c r="K14" s="16"/>
      <c r="L14" s="16"/>
      <c r="M14" s="16"/>
      <c r="N14" s="16"/>
      <c r="O14" s="16"/>
      <c r="P14" s="16"/>
      <c r="Q14" s="16"/>
      <c r="R14" s="16"/>
      <c r="S14" s="16"/>
      <c r="U14" s="23" t="s">
        <v>55</v>
      </c>
      <c r="V14" s="16">
        <v>3449.8333333333335</v>
      </c>
      <c r="W14" s="16">
        <v>42</v>
      </c>
      <c r="X14" s="17">
        <v>4.6346573586485649</v>
      </c>
      <c r="Y14" s="36">
        <v>3</v>
      </c>
      <c r="Z14" s="39">
        <v>5.1118016570367395</v>
      </c>
      <c r="AA14" s="38">
        <v>-9.3341708149288882E-2</v>
      </c>
      <c r="AB14" s="38">
        <v>0.7142857142857143</v>
      </c>
      <c r="AC14" s="38">
        <v>0.97619047619047616</v>
      </c>
      <c r="AD14" s="38">
        <v>0.97619047619047616</v>
      </c>
      <c r="AE14" s="39">
        <v>1.5970841103434947</v>
      </c>
      <c r="AF14" s="36">
        <v>3</v>
      </c>
      <c r="AG14" s="38">
        <v>6.8532937013203815E-2</v>
      </c>
      <c r="AH14" s="36">
        <v>18</v>
      </c>
      <c r="AJ14" s="45" t="s">
        <v>56</v>
      </c>
      <c r="AK14" s="16">
        <v>40054.855111111086</v>
      </c>
      <c r="AL14" s="42">
        <v>8.5438270408899897E-3</v>
      </c>
      <c r="AM14" s="17">
        <v>3.2009101434380897E-2</v>
      </c>
    </row>
    <row r="15" spans="2:45" ht="15" customHeight="1" x14ac:dyDescent="0.2">
      <c r="B15" s="56" t="s">
        <v>7</v>
      </c>
      <c r="C15" s="13">
        <f>SUMPRODUCT(
   [1]!Nurse[Expected Total Nurse Staff HPRD],
   [1]!Nurse[MDScensus]
) /
SUMIFS([1]!Nurse[MDScensus], [1]!Nurse[Expected Total Nurse Staff HPRD], "&gt;0")</f>
        <v>4.9665110679936761</v>
      </c>
      <c r="D15" s="54">
        <f>MEDIAN([1]!Nurse[Expected Total Nurse Staff HPRD])</f>
        <v>4.9037325339411879</v>
      </c>
      <c r="F15" s="23"/>
      <c r="J15" s="16"/>
      <c r="K15" s="16"/>
      <c r="L15" s="16"/>
      <c r="M15" s="16"/>
      <c r="N15" s="16"/>
      <c r="O15" s="16"/>
      <c r="P15" s="16"/>
      <c r="Q15" s="16"/>
      <c r="R15" s="16"/>
      <c r="S15" s="16"/>
      <c r="U15" s="23" t="s">
        <v>57</v>
      </c>
      <c r="V15" s="16">
        <v>20233.555555555569</v>
      </c>
      <c r="W15" s="16">
        <v>387</v>
      </c>
      <c r="X15" s="17">
        <v>3.8005489396052754</v>
      </c>
      <c r="Y15" s="36">
        <v>26</v>
      </c>
      <c r="Z15" s="39">
        <v>4.741620253823366</v>
      </c>
      <c r="AA15" s="38">
        <v>-0.1984704096578096</v>
      </c>
      <c r="AB15" s="38">
        <v>0.27648578811369506</v>
      </c>
      <c r="AC15" s="38">
        <v>0.65891472868217049</v>
      </c>
      <c r="AD15" s="38">
        <v>0.3979328165374677</v>
      </c>
      <c r="AE15" s="39">
        <v>0.71243144501433253</v>
      </c>
      <c r="AF15" s="36">
        <v>22</v>
      </c>
      <c r="AG15" s="38">
        <v>4.6948586764302219E-2</v>
      </c>
      <c r="AH15" s="36">
        <v>33</v>
      </c>
      <c r="AJ15" s="57" t="s">
        <v>58</v>
      </c>
      <c r="AK15" s="16">
        <v>135621.40699999998</v>
      </c>
      <c r="AL15" s="42">
        <v>2.8928474244529719E-2</v>
      </c>
      <c r="AM15" s="17">
        <v>0.10837935529399137</v>
      </c>
    </row>
    <row r="16" spans="2:45" ht="15" customHeight="1" x14ac:dyDescent="0.2">
      <c r="B16" s="56" t="s">
        <v>59</v>
      </c>
      <c r="C16" s="49">
        <f>IF(
   SUMIFS([1]!Nurse[MDScensus], [1]!Nurse[Expected Total Nurse Staff HPRD], "&gt;0") &gt; 0,
   (
     (SUM([1]!Nurse[Total Nurse Staff Hours]) / SUM([1]!Nurse[MDScensus]))
     -
     (
       SUMPRODUCT(
         [1]!Nurse[Expected Total Nurse Staff HPRD],
         [1]!Nurse[MDScensus]
       ) /
       SUMIFS([1]!Nurse[MDScensus], [1]!Nurse[Expected Total Nurse Staff HPRD], "&gt;0")
     )
   )
   /
   ABS(
     SUMPRODUCT(
       [1]!Nurse[Expected Total Nurse Staff HPRD],
       [1]!Nurse[MDScensus]
     ) /
     SUMIFS([1]!Nurse[MDScensus], [1]!Nurse[Expected Total Nurse Staff HPRD], "&gt;0")
   ),
   ""
)</f>
        <v>-0.24565567570167801</v>
      </c>
      <c r="D16" s="58">
        <f>MEDIAN([1]!Nurse[% Deviation From Total Expected Nurse HPRD])</f>
        <v>-0.25305062435246262</v>
      </c>
      <c r="F16" s="23"/>
      <c r="J16" s="16"/>
      <c r="K16" s="16"/>
      <c r="L16" s="16"/>
      <c r="M16" s="16"/>
      <c r="N16" s="16"/>
      <c r="O16" s="16"/>
      <c r="P16" s="16"/>
      <c r="Q16" s="16"/>
      <c r="R16" s="16"/>
      <c r="S16" s="16"/>
      <c r="U16" s="23" t="s">
        <v>60</v>
      </c>
      <c r="V16" s="16">
        <v>4536.7333333333336</v>
      </c>
      <c r="W16" s="16">
        <v>79</v>
      </c>
      <c r="X16" s="17">
        <v>3.8968199340690561</v>
      </c>
      <c r="Y16" s="36">
        <v>20</v>
      </c>
      <c r="Z16" s="39">
        <v>5.0281022597833758</v>
      </c>
      <c r="AA16" s="38">
        <v>-0.22499190892809295</v>
      </c>
      <c r="AB16" s="38">
        <v>0.34177215189873417</v>
      </c>
      <c r="AC16" s="38">
        <v>0.82278481012658233</v>
      </c>
      <c r="AD16" s="38">
        <v>0.50632911392405067</v>
      </c>
      <c r="AE16" s="39">
        <v>0.79694474242357471</v>
      </c>
      <c r="AF16" s="36">
        <v>14</v>
      </c>
      <c r="AG16" s="38">
        <v>4.8648076919305935E-2</v>
      </c>
      <c r="AH16" s="36">
        <v>31</v>
      </c>
    </row>
    <row r="17" spans="6:42" ht="15" customHeight="1" x14ac:dyDescent="0.2">
      <c r="F17" s="23"/>
      <c r="J17" s="16"/>
      <c r="K17" s="16"/>
      <c r="L17" s="16"/>
      <c r="M17" s="16"/>
      <c r="N17" s="16"/>
      <c r="O17" s="16"/>
      <c r="P17" s="16"/>
      <c r="Q17" s="16"/>
      <c r="R17" s="16"/>
      <c r="S17" s="16"/>
      <c r="U17" s="23" t="s">
        <v>61</v>
      </c>
      <c r="V17" s="16">
        <v>62809.400000000096</v>
      </c>
      <c r="W17" s="16">
        <v>656</v>
      </c>
      <c r="X17" s="17">
        <v>3.2639555933418221</v>
      </c>
      <c r="Y17" s="36">
        <v>52</v>
      </c>
      <c r="Z17" s="39">
        <v>5.3290791055999973</v>
      </c>
      <c r="AA17" s="38">
        <v>-0.38751977055248921</v>
      </c>
      <c r="AB17" s="38">
        <v>0.16463414634146342</v>
      </c>
      <c r="AC17" s="38">
        <v>0.37042682926829268</v>
      </c>
      <c r="AD17" s="38">
        <v>0.34451219512195119</v>
      </c>
      <c r="AE17" s="39">
        <v>0.65299193008265177</v>
      </c>
      <c r="AF17" s="36">
        <v>31</v>
      </c>
      <c r="AG17" s="38">
        <v>5.3697653317828442E-2</v>
      </c>
      <c r="AH17" s="36">
        <v>27</v>
      </c>
    </row>
    <row r="18" spans="6:42" ht="15" customHeight="1" x14ac:dyDescent="0.2">
      <c r="F18" s="23"/>
      <c r="G18" s="39"/>
      <c r="J18" s="16"/>
      <c r="K18" s="16"/>
      <c r="L18" s="16"/>
      <c r="M18" s="16"/>
      <c r="N18" s="16"/>
      <c r="O18" s="16"/>
      <c r="P18" s="16"/>
      <c r="Q18" s="16"/>
      <c r="R18" s="16"/>
      <c r="S18" s="16"/>
      <c r="U18" s="23" t="s">
        <v>62</v>
      </c>
      <c r="V18" s="16">
        <v>36762.488888888874</v>
      </c>
      <c r="W18" s="16">
        <v>506</v>
      </c>
      <c r="X18" s="17">
        <v>3.6268274213086795</v>
      </c>
      <c r="Y18" s="36">
        <v>40</v>
      </c>
      <c r="Z18" s="39">
        <v>5.1296498045945729</v>
      </c>
      <c r="AA18" s="38">
        <v>-0.29296783221728534</v>
      </c>
      <c r="AB18" s="38">
        <v>0.1600790513833992</v>
      </c>
      <c r="AC18" s="38">
        <v>0.56916996047430835</v>
      </c>
      <c r="AD18" s="38">
        <v>0.28853754940711462</v>
      </c>
      <c r="AE18" s="39">
        <v>0.61855809544995222</v>
      </c>
      <c r="AF18" s="36">
        <v>35</v>
      </c>
      <c r="AG18" s="38">
        <v>3.381799705007784E-2</v>
      </c>
      <c r="AH18" s="36">
        <v>40</v>
      </c>
      <c r="AJ18" s="61" t="s">
        <v>63</v>
      </c>
      <c r="AK18" s="61" t="s">
        <v>33</v>
      </c>
      <c r="AL18" s="61" t="s">
        <v>64</v>
      </c>
      <c r="AM18" s="61" t="s">
        <v>65</v>
      </c>
    </row>
    <row r="19" spans="6:42" ht="15" customHeight="1" x14ac:dyDescent="0.2">
      <c r="F19" s="23"/>
      <c r="U19" s="23" t="s">
        <v>66</v>
      </c>
      <c r="V19" s="16">
        <v>14935.700000000008</v>
      </c>
      <c r="W19" s="16">
        <v>292</v>
      </c>
      <c r="X19" s="17">
        <v>4.0060797805109729</v>
      </c>
      <c r="Y19" s="36">
        <v>16</v>
      </c>
      <c r="Z19" s="39">
        <v>4.7915913196721336</v>
      </c>
      <c r="AA19" s="38">
        <v>-0.16393542077267759</v>
      </c>
      <c r="AB19" s="38">
        <v>0.40068493150684931</v>
      </c>
      <c r="AC19" s="38">
        <v>0.79794520547945202</v>
      </c>
      <c r="AD19" s="38">
        <v>0.36643835616438358</v>
      </c>
      <c r="AE19" s="39">
        <v>0.66961278458101459</v>
      </c>
      <c r="AF19" s="36">
        <v>28</v>
      </c>
      <c r="AG19" s="38">
        <v>4.7535588565899421E-2</v>
      </c>
      <c r="AH19" s="36">
        <v>32</v>
      </c>
      <c r="AJ19" s="1" t="s">
        <v>67</v>
      </c>
      <c r="AK19" s="38">
        <v>6.6343664191504698E-2</v>
      </c>
      <c r="AL19" s="16">
        <v>36357.732111111116</v>
      </c>
      <c r="AM19" s="16">
        <v>548021.16455555556</v>
      </c>
    </row>
    <row r="20" spans="6:42" ht="15" customHeight="1" x14ac:dyDescent="0.2">
      <c r="U20" s="23" t="s">
        <v>68</v>
      </c>
      <c r="V20" s="16">
        <v>21692.488888888874</v>
      </c>
      <c r="W20" s="16">
        <v>263</v>
      </c>
      <c r="X20" s="17">
        <v>3.8532441490244458</v>
      </c>
      <c r="Y20" s="36">
        <v>24</v>
      </c>
      <c r="Z20" s="39">
        <v>5.1214668230643623</v>
      </c>
      <c r="AA20" s="38">
        <v>-0.24762879812645006</v>
      </c>
      <c r="AB20" s="38">
        <v>0.23954372623574144</v>
      </c>
      <c r="AC20" s="38">
        <v>0.69961977186311786</v>
      </c>
      <c r="AD20" s="38">
        <v>0.40684410646387831</v>
      </c>
      <c r="AE20" s="39">
        <v>0.71493098993814597</v>
      </c>
      <c r="AF20" s="36">
        <v>21</v>
      </c>
      <c r="AG20" s="38">
        <v>3.2445921132972295E-2</v>
      </c>
      <c r="AH20" s="36">
        <v>44</v>
      </c>
      <c r="AJ20" s="1" t="s">
        <v>69</v>
      </c>
      <c r="AK20" s="38">
        <v>2.4904019272647227E-2</v>
      </c>
      <c r="AL20" s="16">
        <v>3920.4152222222237</v>
      </c>
      <c r="AM20" s="16">
        <v>157420.9841111119</v>
      </c>
    </row>
    <row r="21" spans="6:42" ht="15" customHeight="1" x14ac:dyDescent="0.2">
      <c r="U21" s="23" t="s">
        <v>70</v>
      </c>
      <c r="V21" s="16">
        <v>23566.655555555539</v>
      </c>
      <c r="W21" s="16">
        <v>256</v>
      </c>
      <c r="X21" s="17">
        <v>3.6435408927585566</v>
      </c>
      <c r="Y21" s="36">
        <v>38</v>
      </c>
      <c r="Z21" s="39">
        <v>4.8437393749859057</v>
      </c>
      <c r="AA21" s="38">
        <v>-0.24778345598556104</v>
      </c>
      <c r="AB21" s="38">
        <v>0.1796875</v>
      </c>
      <c r="AC21" s="38">
        <v>0.63671875</v>
      </c>
      <c r="AD21" s="38">
        <v>2.34375E-2</v>
      </c>
      <c r="AE21" s="39">
        <v>0.25969616675915475</v>
      </c>
      <c r="AF21" s="36">
        <v>52</v>
      </c>
      <c r="AG21" s="38">
        <v>3.6344989801488772E-2</v>
      </c>
      <c r="AH21" s="36">
        <v>39</v>
      </c>
      <c r="AJ21" s="1" t="s">
        <v>71</v>
      </c>
      <c r="AK21" s="38">
        <v>1.4884950482150567E-2</v>
      </c>
      <c r="AL21" s="16">
        <v>1123.1311111111108</v>
      </c>
      <c r="AM21" s="16">
        <v>75454.13822222146</v>
      </c>
    </row>
    <row r="22" spans="6:42" ht="15" customHeight="1" x14ac:dyDescent="0.2">
      <c r="U22" s="23" t="s">
        <v>72</v>
      </c>
      <c r="V22" s="16">
        <v>33474.85555555555</v>
      </c>
      <c r="W22" s="16">
        <v>339</v>
      </c>
      <c r="X22" s="17">
        <v>3.7879327302715113</v>
      </c>
      <c r="Y22" s="36">
        <v>28</v>
      </c>
      <c r="Z22" s="39">
        <v>4.9758763278535341</v>
      </c>
      <c r="AA22" s="38">
        <v>-0.23874057940955121</v>
      </c>
      <c r="AB22" s="38">
        <v>0.22123893805309736</v>
      </c>
      <c r="AC22" s="38">
        <v>0.74926253687315636</v>
      </c>
      <c r="AD22" s="38">
        <v>0.2359882005899705</v>
      </c>
      <c r="AE22" s="39">
        <v>0.61459455305922783</v>
      </c>
      <c r="AF22" s="36">
        <v>36</v>
      </c>
      <c r="AG22" s="38">
        <v>4.95085898753665E-2</v>
      </c>
      <c r="AH22" s="36">
        <v>30</v>
      </c>
      <c r="AJ22" s="1" t="s">
        <v>73</v>
      </c>
      <c r="AK22" s="38">
        <v>7.0047214316778836E-2</v>
      </c>
      <c r="AL22" s="16">
        <v>68010.411111111156</v>
      </c>
      <c r="AM22" s="16">
        <v>970922.42388888553</v>
      </c>
    </row>
    <row r="23" spans="6:42" ht="15" customHeight="1" x14ac:dyDescent="0.2">
      <c r="U23" s="23" t="s">
        <v>74</v>
      </c>
      <c r="V23" s="16">
        <v>23256.577777777769</v>
      </c>
      <c r="W23" s="16">
        <v>219</v>
      </c>
      <c r="X23" s="17">
        <v>3.7273934112786269</v>
      </c>
      <c r="Y23" s="36">
        <v>32</v>
      </c>
      <c r="Z23" s="39">
        <v>5.0702693551687599</v>
      </c>
      <c r="AA23" s="38">
        <v>-0.26485297916592371</v>
      </c>
      <c r="AB23" s="38">
        <v>0.21461187214611871</v>
      </c>
      <c r="AC23" s="38">
        <v>0.63926940639269403</v>
      </c>
      <c r="AD23" s="38">
        <v>0.42922374429223742</v>
      </c>
      <c r="AE23" s="39">
        <v>0.73846159652800747</v>
      </c>
      <c r="AF23" s="36">
        <v>20</v>
      </c>
      <c r="AG23" s="38">
        <v>7.9635052850194551E-2</v>
      </c>
      <c r="AH23" s="36">
        <v>14</v>
      </c>
      <c r="AJ23" s="1" t="s">
        <v>75</v>
      </c>
      <c r="AK23" s="38">
        <v>8.8312242189997302E-3</v>
      </c>
      <c r="AL23" s="16">
        <v>921.38500000000079</v>
      </c>
      <c r="AM23" s="16">
        <v>104332.64711111157</v>
      </c>
    </row>
    <row r="24" spans="6:42" ht="15" customHeight="1" x14ac:dyDescent="0.2">
      <c r="U24" s="23" t="s">
        <v>76</v>
      </c>
      <c r="V24" s="16">
        <v>5089.0555555555575</v>
      </c>
      <c r="W24" s="16">
        <v>78</v>
      </c>
      <c r="X24" s="17">
        <v>4.3545519688219798</v>
      </c>
      <c r="Y24" s="36">
        <v>7</v>
      </c>
      <c r="Z24" s="39">
        <v>4.9210664044126684</v>
      </c>
      <c r="AA24" s="38">
        <v>-0.11512025830066042</v>
      </c>
      <c r="AB24" s="38">
        <v>0.5641025641025641</v>
      </c>
      <c r="AC24" s="38">
        <v>0.97435897435897434</v>
      </c>
      <c r="AD24" s="38">
        <v>0.83333333333333337</v>
      </c>
      <c r="AE24" s="39">
        <v>1.0647655207798867</v>
      </c>
      <c r="AF24" s="36">
        <v>6</v>
      </c>
      <c r="AG24" s="38">
        <v>9.2195702542814145E-2</v>
      </c>
      <c r="AH24" s="36">
        <v>10</v>
      </c>
      <c r="AJ24" s="1" t="s">
        <v>77</v>
      </c>
      <c r="AK24" s="38">
        <v>5.1348269497180729E-2</v>
      </c>
      <c r="AL24" s="16">
        <v>136398.2327777778</v>
      </c>
      <c r="AM24" s="16">
        <v>2656335.5321111013</v>
      </c>
    </row>
    <row r="25" spans="6:42" ht="15" customHeight="1" x14ac:dyDescent="0.2">
      <c r="U25" s="23" t="s">
        <v>78</v>
      </c>
      <c r="V25" s="16">
        <v>36011.077777777769</v>
      </c>
      <c r="W25" s="16">
        <v>418</v>
      </c>
      <c r="X25" s="17">
        <v>3.9458387218500994</v>
      </c>
      <c r="Y25" s="36">
        <v>17</v>
      </c>
      <c r="Z25" s="39">
        <v>4.8497233672260052</v>
      </c>
      <c r="AA25" s="38">
        <v>-0.1863785987226152</v>
      </c>
      <c r="AB25" s="38">
        <v>0.30861244019138756</v>
      </c>
      <c r="AC25" s="38">
        <v>0.77033492822966509</v>
      </c>
      <c r="AD25" s="38">
        <v>0.4354066985645933</v>
      </c>
      <c r="AE25" s="39">
        <v>0.70323129271640816</v>
      </c>
      <c r="AF25" s="36">
        <v>23</v>
      </c>
      <c r="AG25" s="38">
        <v>3.2901429177415051E-2</v>
      </c>
      <c r="AH25" s="36">
        <v>43</v>
      </c>
      <c r="AJ25" s="1" t="s">
        <v>79</v>
      </c>
      <c r="AK25" s="38">
        <v>8.4125326840666908E-3</v>
      </c>
      <c r="AL25" s="16">
        <v>336.96277777777777</v>
      </c>
      <c r="AM25" s="16">
        <v>40054.855111111086</v>
      </c>
    </row>
    <row r="26" spans="6:42" ht="15" customHeight="1" x14ac:dyDescent="0.2">
      <c r="U26" s="23" t="s">
        <v>80</v>
      </c>
      <c r="V26" s="16">
        <v>20284.066666666666</v>
      </c>
      <c r="W26" s="16">
        <v>335</v>
      </c>
      <c r="X26" s="17">
        <v>4.1901725108815597</v>
      </c>
      <c r="Y26" s="36">
        <v>10</v>
      </c>
      <c r="Z26" s="39">
        <v>4.7391567049683037</v>
      </c>
      <c r="AA26" s="38">
        <v>-0.11584005937411088</v>
      </c>
      <c r="AB26" s="38">
        <v>0.5194029850746269</v>
      </c>
      <c r="AC26" s="38">
        <v>0.82388059701492533</v>
      </c>
      <c r="AD26" s="38">
        <v>0.77910447761194035</v>
      </c>
      <c r="AE26" s="39">
        <v>1.0454539687965276</v>
      </c>
      <c r="AF26" s="36">
        <v>7</v>
      </c>
      <c r="AG26" s="38">
        <v>5.2045928031610927E-2</v>
      </c>
      <c r="AH26" s="36">
        <v>28</v>
      </c>
      <c r="AJ26" s="1" t="s">
        <v>81</v>
      </c>
      <c r="AK26" s="38">
        <v>1.4700185036258888E-2</v>
      </c>
      <c r="AL26" s="16">
        <v>1993.6597777777761</v>
      </c>
      <c r="AM26" s="16">
        <v>135621.40699999998</v>
      </c>
      <c r="AO26" s="16"/>
      <c r="AP26" s="16"/>
    </row>
    <row r="27" spans="6:42" ht="15" customHeight="1" x14ac:dyDescent="0.2">
      <c r="U27" s="23" t="s">
        <v>82</v>
      </c>
      <c r="V27" s="16">
        <v>34951.055555555526</v>
      </c>
      <c r="W27" s="16">
        <v>476</v>
      </c>
      <c r="X27" s="17">
        <v>3.3385610512478556</v>
      </c>
      <c r="Y27" s="36">
        <v>50</v>
      </c>
      <c r="Z27" s="39">
        <v>4.888302166823788</v>
      </c>
      <c r="AA27" s="38">
        <v>-0.31703054817147047</v>
      </c>
      <c r="AB27" s="38">
        <v>0.13865546218487396</v>
      </c>
      <c r="AC27" s="38">
        <v>0.42016806722689076</v>
      </c>
      <c r="AD27" s="38">
        <v>7.1428571428571425E-2</v>
      </c>
      <c r="AE27" s="39">
        <v>0.40249642436486616</v>
      </c>
      <c r="AF27" s="36">
        <v>49</v>
      </c>
      <c r="AG27" s="38">
        <v>3.8646160575574739E-2</v>
      </c>
      <c r="AH27" s="36">
        <v>37</v>
      </c>
      <c r="AJ27" s="59" t="s">
        <v>83</v>
      </c>
      <c r="AK27" s="60">
        <v>5.3125695887254708E-2</v>
      </c>
      <c r="AL27" s="41">
        <v>249061.92988888914</v>
      </c>
      <c r="AM27" s="41">
        <v>4688163.1521111261</v>
      </c>
    </row>
    <row r="28" spans="6:42" ht="15" customHeight="1" x14ac:dyDescent="0.2">
      <c r="U28" s="23" t="s">
        <v>84</v>
      </c>
      <c r="V28" s="16">
        <v>14708.877777777787</v>
      </c>
      <c r="W28" s="16">
        <v>198</v>
      </c>
      <c r="X28" s="17">
        <v>4.089601412298995</v>
      </c>
      <c r="Y28" s="36">
        <v>12</v>
      </c>
      <c r="Z28" s="39">
        <v>4.7166094481132124</v>
      </c>
      <c r="AA28" s="38">
        <v>-0.13293617856467632</v>
      </c>
      <c r="AB28" s="38">
        <v>0.45454545454545453</v>
      </c>
      <c r="AC28" s="38">
        <v>0.83333333333333337</v>
      </c>
      <c r="AD28" s="38">
        <v>0.20202020202020202</v>
      </c>
      <c r="AE28" s="39">
        <v>0.59596369237323754</v>
      </c>
      <c r="AF28" s="36">
        <v>40</v>
      </c>
      <c r="AG28" s="38">
        <v>6.1991239789035375E-2</v>
      </c>
      <c r="AH28" s="36">
        <v>21</v>
      </c>
    </row>
    <row r="29" spans="6:42" ht="15" customHeight="1" x14ac:dyDescent="0.2">
      <c r="U29" s="23" t="s">
        <v>85</v>
      </c>
      <c r="V29" s="16">
        <v>3399.4777777777763</v>
      </c>
      <c r="W29" s="16">
        <v>60</v>
      </c>
      <c r="X29" s="17">
        <v>3.9148992492310932</v>
      </c>
      <c r="Y29" s="36">
        <v>18</v>
      </c>
      <c r="Z29" s="39">
        <v>4.6986637413989563</v>
      </c>
      <c r="AA29" s="38">
        <v>-0.16680582721046325</v>
      </c>
      <c r="AB29" s="38">
        <v>0.38333333333333336</v>
      </c>
      <c r="AC29" s="38">
        <v>0.6166666666666667</v>
      </c>
      <c r="AD29" s="38">
        <v>0.65</v>
      </c>
      <c r="AE29" s="39">
        <v>0.88573476971953247</v>
      </c>
      <c r="AF29" s="36">
        <v>11</v>
      </c>
      <c r="AG29" s="38">
        <v>0.11580870389891283</v>
      </c>
      <c r="AH29" s="36">
        <v>7</v>
      </c>
      <c r="AK29" s="16"/>
    </row>
    <row r="30" spans="6:42" ht="15" customHeight="1" x14ac:dyDescent="0.2">
      <c r="U30" s="23" t="s">
        <v>86</v>
      </c>
      <c r="V30" s="16">
        <v>35901.266666666656</v>
      </c>
      <c r="W30" s="16">
        <v>408</v>
      </c>
      <c r="X30" s="17">
        <v>3.6518510612748436</v>
      </c>
      <c r="Y30" s="36">
        <v>37</v>
      </c>
      <c r="Z30" s="39">
        <v>4.8881959393527978</v>
      </c>
      <c r="AA30" s="38">
        <v>-0.25292457450910766</v>
      </c>
      <c r="AB30" s="38">
        <v>0.21323529411764705</v>
      </c>
      <c r="AC30" s="38">
        <v>0.54411764705882348</v>
      </c>
      <c r="AD30" s="38">
        <v>0.2107843137254902</v>
      </c>
      <c r="AE30" s="39">
        <v>0.5315396609342784</v>
      </c>
      <c r="AF30" s="36">
        <v>45</v>
      </c>
      <c r="AG30" s="38">
        <v>8.0050005546441677E-2</v>
      </c>
      <c r="AH30" s="36">
        <v>13</v>
      </c>
    </row>
    <row r="31" spans="6:42" ht="15" customHeight="1" x14ac:dyDescent="0.2">
      <c r="U31" s="23" t="s">
        <v>87</v>
      </c>
      <c r="V31" s="16">
        <v>4495.4444444444462</v>
      </c>
      <c r="W31" s="16">
        <v>70</v>
      </c>
      <c r="X31" s="17">
        <v>4.5687561729157897</v>
      </c>
      <c r="Y31" s="36">
        <v>4</v>
      </c>
      <c r="Z31" s="39">
        <v>4.7536385235572087</v>
      </c>
      <c r="AA31" s="38">
        <v>-3.8892808051182899E-2</v>
      </c>
      <c r="AB31" s="38">
        <v>0.68571428571428572</v>
      </c>
      <c r="AC31" s="38">
        <v>0.88571428571428568</v>
      </c>
      <c r="AD31" s="38">
        <v>0.68571428571428572</v>
      </c>
      <c r="AE31" s="39">
        <v>0.91597503645665967</v>
      </c>
      <c r="AF31" s="36">
        <v>9</v>
      </c>
      <c r="AG31" s="38">
        <v>0.11689937747862007</v>
      </c>
      <c r="AH31" s="36">
        <v>5</v>
      </c>
      <c r="AJ31" s="23"/>
      <c r="AK31" s="23"/>
    </row>
    <row r="32" spans="6:42" ht="15" customHeight="1" x14ac:dyDescent="0.2">
      <c r="U32" s="23" t="s">
        <v>88</v>
      </c>
      <c r="V32" s="16">
        <v>9690.0333333333347</v>
      </c>
      <c r="W32" s="16">
        <v>175</v>
      </c>
      <c r="X32" s="17">
        <v>4.0119212409543339</v>
      </c>
      <c r="Y32" s="36">
        <v>15</v>
      </c>
      <c r="Z32" s="39">
        <v>4.8325592381999609</v>
      </c>
      <c r="AA32" s="38">
        <v>-0.16981436890803631</v>
      </c>
      <c r="AB32" s="38">
        <v>0.4</v>
      </c>
      <c r="AC32" s="38">
        <v>0.74285714285714288</v>
      </c>
      <c r="AD32" s="38">
        <v>0.32</v>
      </c>
      <c r="AE32" s="39">
        <v>0.66283028495487351</v>
      </c>
      <c r="AF32" s="36">
        <v>29</v>
      </c>
      <c r="AG32" s="38">
        <v>7.0782158114938931E-2</v>
      </c>
      <c r="AH32" s="36">
        <v>17</v>
      </c>
      <c r="AJ32" s="23"/>
      <c r="AK32" s="23"/>
    </row>
    <row r="33" spans="21:39" ht="15" customHeight="1" x14ac:dyDescent="0.2">
      <c r="U33" s="23" t="s">
        <v>89</v>
      </c>
      <c r="V33" s="16">
        <v>5929.1222222222214</v>
      </c>
      <c r="W33" s="16">
        <v>72</v>
      </c>
      <c r="X33" s="17">
        <v>3.8509610941098642</v>
      </c>
      <c r="Y33" s="36">
        <v>25</v>
      </c>
      <c r="Z33" s="39">
        <v>4.8947916433745382</v>
      </c>
      <c r="AA33" s="38">
        <v>-0.21325331603799227</v>
      </c>
      <c r="AB33" s="38">
        <v>0.31944444444444442</v>
      </c>
      <c r="AC33" s="38">
        <v>0.61111111111111116</v>
      </c>
      <c r="AD33" s="38">
        <v>0.40277777777777779</v>
      </c>
      <c r="AE33" s="39">
        <v>0.74131604640746929</v>
      </c>
      <c r="AF33" s="36">
        <v>19</v>
      </c>
      <c r="AG33" s="38">
        <v>0.13098729119304592</v>
      </c>
      <c r="AH33" s="36">
        <v>3</v>
      </c>
      <c r="AJ33" s="23"/>
      <c r="AK33" s="23"/>
    </row>
    <row r="34" spans="21:39" ht="15" customHeight="1" x14ac:dyDescent="0.2">
      <c r="U34" s="23" t="s">
        <v>90</v>
      </c>
      <c r="V34" s="16">
        <v>42500.311111111077</v>
      </c>
      <c r="W34" s="16">
        <v>347</v>
      </c>
      <c r="X34" s="17">
        <v>3.6803150565172369</v>
      </c>
      <c r="Y34" s="36">
        <v>34</v>
      </c>
      <c r="Z34" s="39">
        <v>4.9356341463090594</v>
      </c>
      <c r="AA34" s="38">
        <v>-0.25433795386365271</v>
      </c>
      <c r="AB34" s="38">
        <v>0.2478386167146974</v>
      </c>
      <c r="AC34" s="38">
        <v>0.61671469740634011</v>
      </c>
      <c r="AD34" s="38">
        <v>0.30547550432276654</v>
      </c>
      <c r="AE34" s="39">
        <v>0.5896054826265329</v>
      </c>
      <c r="AF34" s="36">
        <v>41</v>
      </c>
      <c r="AG34" s="38">
        <v>0.11589682656474116</v>
      </c>
      <c r="AH34" s="36">
        <v>6</v>
      </c>
      <c r="AJ34" s="23"/>
      <c r="AK34" s="23"/>
    </row>
    <row r="35" spans="21:39" ht="15" customHeight="1" x14ac:dyDescent="0.2">
      <c r="U35" s="23" t="s">
        <v>91</v>
      </c>
      <c r="V35" s="16">
        <v>5770.9000000000005</v>
      </c>
      <c r="W35" s="16">
        <v>68</v>
      </c>
      <c r="X35" s="17">
        <v>3.5178128387445824</v>
      </c>
      <c r="Y35" s="36">
        <v>47</v>
      </c>
      <c r="Z35" s="39">
        <v>4.7975660581314363</v>
      </c>
      <c r="AA35" s="38">
        <v>-0.26675051554898116</v>
      </c>
      <c r="AB35" s="38">
        <v>0.14705882352941177</v>
      </c>
      <c r="AC35" s="38">
        <v>0.45588235294117646</v>
      </c>
      <c r="AD35" s="38">
        <v>0.29411764705882354</v>
      </c>
      <c r="AE35" s="39">
        <v>0.60348799821325783</v>
      </c>
      <c r="AF35" s="36">
        <v>39</v>
      </c>
      <c r="AG35" s="38">
        <v>0.141907047955592</v>
      </c>
      <c r="AH35" s="36">
        <v>2</v>
      </c>
      <c r="AJ35" s="23"/>
      <c r="AK35" s="23"/>
      <c r="AM35" s="17"/>
    </row>
    <row r="36" spans="21:39" ht="15" customHeight="1" x14ac:dyDescent="0.2">
      <c r="U36" s="23" t="s">
        <v>92</v>
      </c>
      <c r="V36" s="16">
        <v>6166.4555555555553</v>
      </c>
      <c r="W36" s="16">
        <v>64</v>
      </c>
      <c r="X36" s="17">
        <v>3.8796293566806801</v>
      </c>
      <c r="Y36" s="36">
        <v>22</v>
      </c>
      <c r="Z36" s="39">
        <v>5.0756434165997772</v>
      </c>
      <c r="AA36" s="38">
        <v>-0.23563792050630669</v>
      </c>
      <c r="AB36" s="38">
        <v>0.453125</v>
      </c>
      <c r="AC36" s="38">
        <v>0.71875</v>
      </c>
      <c r="AD36" s="38">
        <v>0.578125</v>
      </c>
      <c r="AE36" s="39">
        <v>0.84551912587998468</v>
      </c>
      <c r="AF36" s="36">
        <v>13</v>
      </c>
      <c r="AG36" s="38">
        <v>2.6832626345524968E-2</v>
      </c>
      <c r="AH36" s="36">
        <v>46</v>
      </c>
    </row>
    <row r="37" spans="21:39" ht="15" customHeight="1" x14ac:dyDescent="0.2">
      <c r="U37" s="23" t="s">
        <v>93</v>
      </c>
      <c r="V37" s="16">
        <v>98717.444444444278</v>
      </c>
      <c r="W37" s="16">
        <v>590</v>
      </c>
      <c r="X37" s="17">
        <v>3.5492454525092474</v>
      </c>
      <c r="Y37" s="36">
        <v>46</v>
      </c>
      <c r="Z37" s="39">
        <v>5.0594408014794494</v>
      </c>
      <c r="AA37" s="38">
        <v>-0.29849056609746283</v>
      </c>
      <c r="AB37" s="38">
        <v>0.15932203389830507</v>
      </c>
      <c r="AC37" s="38">
        <v>0.51016949152542368</v>
      </c>
      <c r="AD37" s="38">
        <v>0.27457627118644068</v>
      </c>
      <c r="AE37" s="39">
        <v>0.68330522692713447</v>
      </c>
      <c r="AF37" s="36">
        <v>26</v>
      </c>
      <c r="AG37" s="38">
        <v>9.8017289295508542E-2</v>
      </c>
      <c r="AH37" s="36">
        <v>9</v>
      </c>
    </row>
    <row r="38" spans="21:39" ht="15" customHeight="1" x14ac:dyDescent="0.2">
      <c r="U38" s="23" t="s">
        <v>94</v>
      </c>
      <c r="V38" s="16">
        <v>67569.788888888826</v>
      </c>
      <c r="W38" s="16">
        <v>917</v>
      </c>
      <c r="X38" s="17">
        <v>3.6386418190509593</v>
      </c>
      <c r="Y38" s="36">
        <v>39</v>
      </c>
      <c r="Z38" s="39">
        <v>5.0898102694878986</v>
      </c>
      <c r="AA38" s="38">
        <v>-0.28511248427791508</v>
      </c>
      <c r="AB38" s="38">
        <v>0.17884405670665213</v>
      </c>
      <c r="AC38" s="38">
        <v>0.5725190839694656</v>
      </c>
      <c r="AD38" s="38">
        <v>0.25299890948745912</v>
      </c>
      <c r="AE38" s="39">
        <v>0.60437690184025328</v>
      </c>
      <c r="AF38" s="36">
        <v>38</v>
      </c>
      <c r="AG38" s="38">
        <v>4.6312333664317806E-2</v>
      </c>
      <c r="AH38" s="36">
        <v>34</v>
      </c>
    </row>
    <row r="39" spans="21:39" ht="15" customHeight="1" x14ac:dyDescent="0.2">
      <c r="U39" s="23" t="s">
        <v>95</v>
      </c>
      <c r="V39" s="16">
        <v>16573.133333333346</v>
      </c>
      <c r="W39" s="16">
        <v>270</v>
      </c>
      <c r="X39" s="17">
        <v>3.7890489560748222</v>
      </c>
      <c r="Y39" s="36">
        <v>27</v>
      </c>
      <c r="Z39" s="39">
        <v>4.6600537670293489</v>
      </c>
      <c r="AA39" s="38">
        <v>-0.18690874708721814</v>
      </c>
      <c r="AB39" s="38">
        <v>0.25555555555555554</v>
      </c>
      <c r="AC39" s="38">
        <v>0.68148148148148147</v>
      </c>
      <c r="AD39" s="38">
        <v>1.8518518518518517E-2</v>
      </c>
      <c r="AE39" s="39">
        <v>0.31898183941613634</v>
      </c>
      <c r="AF39" s="36">
        <v>51</v>
      </c>
      <c r="AG39" s="38">
        <v>2.2413452691836502E-2</v>
      </c>
      <c r="AH39" s="36">
        <v>48</v>
      </c>
    </row>
    <row r="40" spans="21:39" ht="15" customHeight="1" x14ac:dyDescent="0.2">
      <c r="U40" s="23" t="s">
        <v>96</v>
      </c>
      <c r="V40" s="16">
        <v>7376.4777777777799</v>
      </c>
      <c r="W40" s="16">
        <v>125</v>
      </c>
      <c r="X40" s="17">
        <v>4.9146125898689981</v>
      </c>
      <c r="Y40" s="36">
        <v>2</v>
      </c>
      <c r="Z40" s="39">
        <v>4.8645531147412644</v>
      </c>
      <c r="AA40" s="38">
        <v>1.0290662666635563E-2</v>
      </c>
      <c r="AB40" s="38">
        <v>0.97599999999999998</v>
      </c>
      <c r="AC40" s="38">
        <v>0.99199999999999999</v>
      </c>
      <c r="AD40" s="38">
        <v>0.32800000000000001</v>
      </c>
      <c r="AE40" s="39">
        <v>0.63993943209872817</v>
      </c>
      <c r="AF40" s="36">
        <v>32</v>
      </c>
      <c r="AG40" s="38">
        <v>6.2384086444233648E-2</v>
      </c>
      <c r="AH40" s="36">
        <v>20</v>
      </c>
    </row>
    <row r="41" spans="21:39" ht="15" customHeight="1" x14ac:dyDescent="0.2">
      <c r="U41" s="23" t="s">
        <v>97</v>
      </c>
      <c r="V41" s="16">
        <v>67658.811111111077</v>
      </c>
      <c r="W41" s="16">
        <v>644</v>
      </c>
      <c r="X41" s="17">
        <v>3.6852494156546545</v>
      </c>
      <c r="Y41" s="36">
        <v>33</v>
      </c>
      <c r="Z41" s="39">
        <v>4.8658414551100515</v>
      </c>
      <c r="AA41" s="38">
        <v>-0.2426285464388801</v>
      </c>
      <c r="AB41" s="38">
        <v>0.26708074534161491</v>
      </c>
      <c r="AC41" s="38">
        <v>0.62577639751552794</v>
      </c>
      <c r="AD41" s="38">
        <v>0.38975155279503104</v>
      </c>
      <c r="AE41" s="39">
        <v>0.65350395029439423</v>
      </c>
      <c r="AF41" s="36">
        <v>30</v>
      </c>
      <c r="AG41" s="38">
        <v>0.11255025897083706</v>
      </c>
      <c r="AH41" s="36">
        <v>8</v>
      </c>
    </row>
    <row r="42" spans="21:39" ht="15" customHeight="1" x14ac:dyDescent="0.2">
      <c r="U42" s="23" t="s">
        <v>98</v>
      </c>
      <c r="V42" s="16">
        <v>236.39999999999995</v>
      </c>
      <c r="W42" s="16">
        <v>8</v>
      </c>
      <c r="X42" s="17">
        <v>3.4733798646362106</v>
      </c>
      <c r="Y42" s="36">
        <v>49</v>
      </c>
      <c r="Z42" s="39">
        <v>4.9748196072510984</v>
      </c>
      <c r="AA42" s="38">
        <v>-0.3018078766969659</v>
      </c>
      <c r="AB42" s="38">
        <v>0.5</v>
      </c>
      <c r="AC42" s="38">
        <v>0.5</v>
      </c>
      <c r="AD42" s="38">
        <v>1</v>
      </c>
      <c r="AE42" s="39">
        <v>2.8197269223538268</v>
      </c>
      <c r="AF42" s="36">
        <v>1</v>
      </c>
      <c r="AG42" s="38">
        <v>5.1760475661380166E-2</v>
      </c>
      <c r="AH42" s="36">
        <v>29</v>
      </c>
    </row>
    <row r="43" spans="21:39" ht="15" customHeight="1" x14ac:dyDescent="0.2">
      <c r="U43" s="23" t="s">
        <v>99</v>
      </c>
      <c r="V43" s="16">
        <v>6888.8222222222203</v>
      </c>
      <c r="W43" s="16">
        <v>71</v>
      </c>
      <c r="X43" s="17">
        <v>3.6736268254208935</v>
      </c>
      <c r="Y43" s="36">
        <v>35</v>
      </c>
      <c r="Z43" s="39">
        <v>4.8880978839470686</v>
      </c>
      <c r="AA43" s="38">
        <v>-0.24845473379626909</v>
      </c>
      <c r="AB43" s="38">
        <v>0.16901408450704225</v>
      </c>
      <c r="AC43" s="38">
        <v>0.63380281690140849</v>
      </c>
      <c r="AD43" s="38">
        <v>0.45070422535211269</v>
      </c>
      <c r="AE43" s="39">
        <v>0.69310573973296541</v>
      </c>
      <c r="AF43" s="36">
        <v>25</v>
      </c>
      <c r="AG43" s="38">
        <v>5.4000497948173305E-2</v>
      </c>
      <c r="AH43" s="36">
        <v>26</v>
      </c>
    </row>
    <row r="44" spans="21:39" ht="15" customHeight="1" x14ac:dyDescent="0.2">
      <c r="U44" s="23" t="s">
        <v>100</v>
      </c>
      <c r="V44" s="16">
        <v>17181.988888888882</v>
      </c>
      <c r="W44" s="16">
        <v>186</v>
      </c>
      <c r="X44" s="17">
        <v>3.6158181855806353</v>
      </c>
      <c r="Y44" s="36">
        <v>41</v>
      </c>
      <c r="Z44" s="39">
        <v>4.8653774073445426</v>
      </c>
      <c r="AA44" s="38">
        <v>-0.25682678179859841</v>
      </c>
      <c r="AB44" s="38">
        <v>0.26344086021505375</v>
      </c>
      <c r="AC44" s="38">
        <v>0.54838709677419351</v>
      </c>
      <c r="AD44" s="38">
        <v>0.19354838709677419</v>
      </c>
      <c r="AE44" s="39">
        <v>0.5257658051486731</v>
      </c>
      <c r="AF44" s="36">
        <v>46</v>
      </c>
      <c r="AG44" s="38">
        <v>7.2186889321070175E-2</v>
      </c>
      <c r="AH44" s="36">
        <v>16</v>
      </c>
    </row>
    <row r="45" spans="21:39" ht="15" customHeight="1" x14ac:dyDescent="0.2">
      <c r="U45" s="23" t="s">
        <v>101</v>
      </c>
      <c r="V45" s="16">
        <v>4811.8333333333339</v>
      </c>
      <c r="W45" s="16">
        <v>92</v>
      </c>
      <c r="X45" s="17">
        <v>3.7617478669483781</v>
      </c>
      <c r="Y45" s="36">
        <v>30</v>
      </c>
      <c r="Z45" s="39">
        <v>4.7805691161095325</v>
      </c>
      <c r="AA45" s="38">
        <v>-0.21311714660246972</v>
      </c>
      <c r="AB45" s="38">
        <v>0.27173913043478259</v>
      </c>
      <c r="AC45" s="38">
        <v>0.63043478260869568</v>
      </c>
      <c r="AD45" s="38">
        <v>0.52173913043478259</v>
      </c>
      <c r="AE45" s="39">
        <v>0.79132220336439107</v>
      </c>
      <c r="AF45" s="36">
        <v>16</v>
      </c>
      <c r="AG45" s="38">
        <v>9.1143613492006503E-2</v>
      </c>
      <c r="AH45" s="36">
        <v>11</v>
      </c>
    </row>
    <row r="46" spans="21:39" ht="15" customHeight="1" x14ac:dyDescent="0.2">
      <c r="U46" s="23" t="s">
        <v>102</v>
      </c>
      <c r="V46" s="16">
        <v>25378.811111111081</v>
      </c>
      <c r="W46" s="16">
        <v>302</v>
      </c>
      <c r="X46" s="17">
        <v>3.7529764243399959</v>
      </c>
      <c r="Y46" s="36">
        <v>31</v>
      </c>
      <c r="Z46" s="39">
        <v>5.0935170187167786</v>
      </c>
      <c r="AA46" s="38">
        <v>-0.26318565137817251</v>
      </c>
      <c r="AB46" s="38">
        <v>0.2251655629139073</v>
      </c>
      <c r="AC46" s="38">
        <v>0.66225165562913912</v>
      </c>
      <c r="AD46" s="38">
        <v>0.19867549668874171</v>
      </c>
      <c r="AE46" s="39">
        <v>0.56193903663292244</v>
      </c>
      <c r="AF46" s="36">
        <v>43</v>
      </c>
      <c r="AG46" s="38">
        <v>4.0329322717018487E-2</v>
      </c>
      <c r="AH46" s="36">
        <v>35</v>
      </c>
    </row>
    <row r="47" spans="21:39" ht="15" customHeight="1" x14ac:dyDescent="0.2">
      <c r="U47" s="23" t="s">
        <v>103</v>
      </c>
      <c r="V47" s="16">
        <v>88184.899999999951</v>
      </c>
      <c r="W47" s="16">
        <v>1163</v>
      </c>
      <c r="X47" s="17">
        <v>3.3336288449987883</v>
      </c>
      <c r="Y47" s="36">
        <v>51</v>
      </c>
      <c r="Z47" s="39">
        <v>4.8754224243327258</v>
      </c>
      <c r="AA47" s="38">
        <v>-0.31623794722668669</v>
      </c>
      <c r="AB47" s="38">
        <v>8.7704213241616508E-2</v>
      </c>
      <c r="AC47" s="38">
        <v>0.28718830610490109</v>
      </c>
      <c r="AD47" s="38">
        <v>6.6208082545141878E-2</v>
      </c>
      <c r="AE47" s="39">
        <v>0.40468790890251966</v>
      </c>
      <c r="AF47" s="36">
        <v>48</v>
      </c>
      <c r="AG47" s="38">
        <v>2.1924650311746424E-2</v>
      </c>
      <c r="AH47" s="36">
        <v>49</v>
      </c>
    </row>
    <row r="48" spans="21:39" ht="15" customHeight="1" x14ac:dyDescent="0.2">
      <c r="U48" s="23" t="s">
        <v>104</v>
      </c>
      <c r="V48" s="16">
        <v>5911.0444444444447</v>
      </c>
      <c r="W48" s="16">
        <v>97</v>
      </c>
      <c r="X48" s="17">
        <v>3.9096621390466835</v>
      </c>
      <c r="Y48" s="36">
        <v>19</v>
      </c>
      <c r="Z48" s="39">
        <v>5.0979463278216848</v>
      </c>
      <c r="AA48" s="38">
        <v>-0.23309076093838485</v>
      </c>
      <c r="AB48" s="38">
        <v>0.28865979381443296</v>
      </c>
      <c r="AC48" s="38">
        <v>0.72164948453608246</v>
      </c>
      <c r="AD48" s="38">
        <v>0.81443298969072164</v>
      </c>
      <c r="AE48" s="39">
        <v>1.113166520675045</v>
      </c>
      <c r="AF48" s="36">
        <v>5</v>
      </c>
      <c r="AG48" s="38">
        <v>2.7893394581937101E-2</v>
      </c>
      <c r="AH48" s="36">
        <v>45</v>
      </c>
    </row>
    <row r="49" spans="21:34" ht="15" customHeight="1" x14ac:dyDescent="0.2">
      <c r="U49" s="23" t="s">
        <v>105</v>
      </c>
      <c r="V49" s="16">
        <v>28575.655555555568</v>
      </c>
      <c r="W49" s="16">
        <v>287</v>
      </c>
      <c r="X49" s="17">
        <v>3.5770392396947037</v>
      </c>
      <c r="Y49" s="36">
        <v>44</v>
      </c>
      <c r="Z49" s="39">
        <v>5.0051177533024047</v>
      </c>
      <c r="AA49" s="38">
        <v>-0.2853236595014067</v>
      </c>
      <c r="AB49" s="38">
        <v>0.2264808362369338</v>
      </c>
      <c r="AC49" s="38">
        <v>0.4808362369337979</v>
      </c>
      <c r="AD49" s="38">
        <v>0.24041811846689895</v>
      </c>
      <c r="AE49" s="39">
        <v>0.56174589170502132</v>
      </c>
      <c r="AF49" s="36">
        <v>44</v>
      </c>
      <c r="AG49" s="38">
        <v>5.6991915019340811E-2</v>
      </c>
      <c r="AH49" s="36">
        <v>25</v>
      </c>
    </row>
    <row r="50" spans="21:34" ht="15" customHeight="1" x14ac:dyDescent="0.2">
      <c r="U50" s="23" t="s">
        <v>106</v>
      </c>
      <c r="V50" s="16">
        <v>2444.3555555555554</v>
      </c>
      <c r="W50" s="16">
        <v>33</v>
      </c>
      <c r="X50" s="17">
        <v>4.2539499163605958</v>
      </c>
      <c r="Y50" s="36">
        <v>8</v>
      </c>
      <c r="Z50" s="39">
        <v>4.9587790133780576</v>
      </c>
      <c r="AA50" s="38">
        <v>-0.1421376300730354</v>
      </c>
      <c r="AB50" s="38">
        <v>0.54545454545454541</v>
      </c>
      <c r="AC50" s="38">
        <v>1</v>
      </c>
      <c r="AD50" s="38">
        <v>0.51515151515151514</v>
      </c>
      <c r="AE50" s="39">
        <v>0.79382313902323731</v>
      </c>
      <c r="AF50" s="36">
        <v>15</v>
      </c>
      <c r="AG50" s="38">
        <v>0.23157835684593736</v>
      </c>
      <c r="AH50" s="36">
        <v>1</v>
      </c>
    </row>
    <row r="51" spans="21:34" ht="15" customHeight="1" x14ac:dyDescent="0.2">
      <c r="U51" s="23" t="s">
        <v>107</v>
      </c>
      <c r="V51" s="16">
        <v>14327.422222222222</v>
      </c>
      <c r="W51" s="16">
        <v>187</v>
      </c>
      <c r="X51" s="17">
        <v>4.212165474443724</v>
      </c>
      <c r="Y51" s="36">
        <v>9</v>
      </c>
      <c r="Z51" s="39">
        <v>5.0766621127397178</v>
      </c>
      <c r="AA51" s="38">
        <v>-0.17028839404666457</v>
      </c>
      <c r="AB51" s="38">
        <v>0.49732620320855614</v>
      </c>
      <c r="AC51" s="38">
        <v>0.96256684491978606</v>
      </c>
      <c r="AD51" s="38">
        <v>0.70588235294117652</v>
      </c>
      <c r="AE51" s="39">
        <v>0.89981254284712786</v>
      </c>
      <c r="AF51" s="36">
        <v>10</v>
      </c>
      <c r="AG51" s="38">
        <v>3.6835731636203052E-2</v>
      </c>
      <c r="AH51" s="36">
        <v>38</v>
      </c>
    </row>
    <row r="52" spans="21:34" ht="15" customHeight="1" x14ac:dyDescent="0.2">
      <c r="U52" s="23" t="s">
        <v>108</v>
      </c>
      <c r="V52" s="16">
        <v>17658.799999999981</v>
      </c>
      <c r="W52" s="16">
        <v>322</v>
      </c>
      <c r="X52" s="17">
        <v>4.1850806396810691</v>
      </c>
      <c r="Y52" s="36">
        <v>11</v>
      </c>
      <c r="Z52" s="39">
        <v>4.9283811547629623</v>
      </c>
      <c r="AA52" s="38">
        <v>-0.15082041987834915</v>
      </c>
      <c r="AB52" s="38">
        <v>0.47826086956521741</v>
      </c>
      <c r="AC52" s="38">
        <v>0.84161490683229812</v>
      </c>
      <c r="AD52" s="38">
        <v>0.71118012422360244</v>
      </c>
      <c r="AE52" s="39">
        <v>0.95230919176589457</v>
      </c>
      <c r="AF52" s="36">
        <v>8</v>
      </c>
      <c r="AG52" s="38">
        <v>8.7710827740386979E-2</v>
      </c>
      <c r="AH52" s="36">
        <v>12</v>
      </c>
    </row>
    <row r="53" spans="21:34" ht="15" customHeight="1" x14ac:dyDescent="0.2">
      <c r="U53" s="23" t="s">
        <v>109</v>
      </c>
      <c r="V53" s="16">
        <v>9643.7333333333354</v>
      </c>
      <c r="W53" s="16">
        <v>122</v>
      </c>
      <c r="X53" s="17">
        <v>3.5601088444309252</v>
      </c>
      <c r="Y53" s="36">
        <v>45</v>
      </c>
      <c r="Z53" s="39">
        <v>5.0576581662741669</v>
      </c>
      <c r="AA53" s="38">
        <v>-0.29609540079820057</v>
      </c>
      <c r="AB53" s="38">
        <v>0.18852459016393441</v>
      </c>
      <c r="AC53" s="38">
        <v>0.5</v>
      </c>
      <c r="AD53" s="38">
        <v>0.31147540983606559</v>
      </c>
      <c r="AE53" s="39">
        <v>0.67423321535228387</v>
      </c>
      <c r="AF53" s="36">
        <v>27</v>
      </c>
      <c r="AG53" s="38">
        <v>3.8754543148856922E-2</v>
      </c>
      <c r="AH53" s="36">
        <v>36</v>
      </c>
    </row>
    <row r="54" spans="21:34" ht="15" customHeight="1" x14ac:dyDescent="0.2">
      <c r="U54" s="23" t="s">
        <v>110</v>
      </c>
      <c r="V54" s="16">
        <v>1983.3666666666666</v>
      </c>
      <c r="W54" s="16">
        <v>35</v>
      </c>
      <c r="X54" s="17">
        <v>3.6108963434788208</v>
      </c>
      <c r="Y54" s="36">
        <v>42</v>
      </c>
      <c r="Z54" s="39">
        <v>4.7513058386399791</v>
      </c>
      <c r="AA54" s="38">
        <v>-0.24002022473206877</v>
      </c>
      <c r="AB54" s="38">
        <v>0.31428571428571428</v>
      </c>
      <c r="AC54" s="38">
        <v>0.62857142857142856</v>
      </c>
      <c r="AD54" s="38">
        <v>0.5714285714285714</v>
      </c>
      <c r="AE54" s="39">
        <v>0.85556735741135981</v>
      </c>
      <c r="AF54" s="36">
        <v>12</v>
      </c>
      <c r="AG54" s="38">
        <v>7.5250859184688476E-2</v>
      </c>
      <c r="AH54" s="36">
        <v>15</v>
      </c>
    </row>
    <row r="55" spans="21:34" ht="15" customHeight="1" x14ac:dyDescent="0.2"/>
  </sheetData>
  <conditionalFormatting sqref="L3:L12">
    <cfRule type="colorScale" priority="3">
      <colorScale>
        <cfvo type="min"/>
        <cfvo type="num" val="0"/>
        <cfvo type="max"/>
        <color rgb="FFF8696B"/>
        <color rgb="FFFCFCFF"/>
        <color rgb="FF63BE7B"/>
      </colorScale>
    </cfRule>
    <cfRule type="colorScale" priority="4">
      <colorScale>
        <cfvo type="min"/>
        <cfvo type="max"/>
        <color rgb="FFF8696B"/>
        <color rgb="FFFCFCFF"/>
      </colorScale>
    </cfRule>
  </conditionalFormatting>
  <conditionalFormatting sqref="AA3:AA54">
    <cfRule type="colorScale" priority="1">
      <colorScale>
        <cfvo type="min"/>
        <cfvo type="num" val="0"/>
        <cfvo type="max"/>
        <color rgb="FFF8696B"/>
        <color rgb="FFFCFCFF"/>
        <color rgb="FF63BE7B"/>
      </colorScale>
    </cfRule>
    <cfRule type="colorScale" priority="2">
      <colorScale>
        <cfvo type="min"/>
        <cfvo type="max"/>
        <color rgb="FFF8696B"/>
        <color rgb="FFFCFCFF"/>
      </colorScale>
    </cfRule>
  </conditionalFormatting>
  <pageMargins left="0.7" right="0.7" top="0.75" bottom="0.75" header="0.3" footer="0.3"/>
  <drawing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2F77-04F1-E047-8AE3-3305EA9A6C3E}">
  <dimension ref="B2:N62"/>
  <sheetViews>
    <sheetView workbookViewId="0"/>
  </sheetViews>
  <sheetFormatPr baseColWidth="10" defaultColWidth="8.83203125" defaultRowHeight="16" x14ac:dyDescent="0.2"/>
  <cols>
    <col min="1" max="1" width="3.33203125" style="1" customWidth="1"/>
    <col min="2" max="2" width="45.1640625" style="1" customWidth="1"/>
    <col min="3" max="4" width="11.5" style="1" customWidth="1"/>
    <col min="5" max="5" width="4.5" style="1" customWidth="1"/>
    <col min="6" max="6" width="8.6640625" style="1" customWidth="1"/>
    <col min="7" max="7" width="44.5" style="1" customWidth="1"/>
    <col min="8" max="8" width="12.5" style="1" customWidth="1"/>
    <col min="9" max="9" width="14.5" style="1" bestFit="1" customWidth="1"/>
    <col min="10" max="10" width="19.83203125" style="1" customWidth="1"/>
    <col min="11" max="11" width="37.1640625" style="1" customWidth="1"/>
    <col min="12" max="12" width="11.5" style="1" customWidth="1"/>
    <col min="13" max="17" width="8.83203125" style="1"/>
    <col min="18" max="18" width="22.83203125" style="1" customWidth="1"/>
    <col min="19" max="19" width="16.5" style="1" customWidth="1"/>
    <col min="20" max="20" width="13.5" style="1" customWidth="1"/>
    <col min="21" max="16384" width="8.83203125" style="1"/>
  </cols>
  <sheetData>
    <row r="2" spans="2:14" ht="82" customHeight="1" thickBot="1" x14ac:dyDescent="0.25">
      <c r="B2" s="63" t="s">
        <v>187</v>
      </c>
      <c r="C2" s="63" t="s">
        <v>111</v>
      </c>
      <c r="D2" s="63" t="s">
        <v>1</v>
      </c>
      <c r="E2" s="64"/>
      <c r="F2" s="61"/>
      <c r="G2" s="73" t="s">
        <v>17</v>
      </c>
      <c r="H2" s="74" t="s">
        <v>112</v>
      </c>
      <c r="I2" s="75" t="s">
        <v>113</v>
      </c>
      <c r="J2" s="76" t="s">
        <v>114</v>
      </c>
    </row>
    <row r="3" spans="2:14" x14ac:dyDescent="0.2">
      <c r="B3" s="12" t="s">
        <v>115</v>
      </c>
      <c r="C3" s="13">
        <v>3.7277034209978774</v>
      </c>
      <c r="D3" s="14">
        <v>3.9750684098510192</v>
      </c>
      <c r="E3" s="15"/>
      <c r="G3" s="77" t="s">
        <v>116</v>
      </c>
      <c r="H3" s="78">
        <v>77620.784444444842</v>
      </c>
      <c r="I3" s="79">
        <v>3.7277034209978774</v>
      </c>
      <c r="J3" s="80">
        <v>372</v>
      </c>
    </row>
    <row r="4" spans="2:14" x14ac:dyDescent="0.2">
      <c r="B4" s="12" t="s">
        <v>117</v>
      </c>
      <c r="C4" s="13">
        <v>0.25909821654421056</v>
      </c>
      <c r="D4" s="13">
        <v>0.14888337468982629</v>
      </c>
      <c r="E4" s="15"/>
      <c r="G4" s="81" t="s">
        <v>118</v>
      </c>
      <c r="H4" s="82">
        <v>5403.7451111110668</v>
      </c>
      <c r="I4" s="83">
        <v>0.25909821654421056</v>
      </c>
      <c r="J4" s="84">
        <v>4753</v>
      </c>
      <c r="L4" s="16"/>
    </row>
    <row r="5" spans="2:14" x14ac:dyDescent="0.2">
      <c r="B5" s="18" t="s">
        <v>119</v>
      </c>
      <c r="C5" s="13">
        <v>0.26195632678189879</v>
      </c>
      <c r="D5" s="13">
        <v>0.18354451209478359</v>
      </c>
      <c r="E5" s="15"/>
      <c r="G5" s="77" t="s">
        <v>120</v>
      </c>
      <c r="H5" s="78">
        <v>5463.3537777777819</v>
      </c>
      <c r="I5" s="79">
        <v>0.26195632678189879</v>
      </c>
      <c r="J5" s="85">
        <v>6051</v>
      </c>
      <c r="M5" s="20"/>
      <c r="N5" s="20"/>
    </row>
    <row r="6" spans="2:14" x14ac:dyDescent="0.2">
      <c r="B6" s="21" t="s">
        <v>121</v>
      </c>
      <c r="C6" s="68">
        <v>5.4958765678341193</v>
      </c>
      <c r="D6" s="19">
        <v>0</v>
      </c>
      <c r="E6" s="23"/>
      <c r="G6" s="81" t="s">
        <v>122</v>
      </c>
      <c r="H6" s="82">
        <v>37285.380333333545</v>
      </c>
      <c r="I6" s="83">
        <v>1.7877555933708704</v>
      </c>
      <c r="J6" s="84">
        <v>3998</v>
      </c>
      <c r="M6" s="20"/>
      <c r="N6" s="20"/>
    </row>
    <row r="7" spans="2:14" x14ac:dyDescent="0.2">
      <c r="B7" s="18" t="s">
        <v>123</v>
      </c>
      <c r="C7" s="13">
        <v>15.492981867253775</v>
      </c>
      <c r="D7" s="13">
        <v>0</v>
      </c>
      <c r="E7" s="23"/>
      <c r="G7" s="77" t="s">
        <v>124</v>
      </c>
      <c r="H7" s="78">
        <v>628.38688888888885</v>
      </c>
      <c r="I7" s="79">
        <v>3.0129830120244117E-2</v>
      </c>
      <c r="J7" s="85">
        <v>14206</v>
      </c>
      <c r="K7" s="20"/>
      <c r="L7" s="20"/>
      <c r="M7" s="20"/>
      <c r="N7" s="20"/>
    </row>
    <row r="8" spans="2:14" ht="15" customHeight="1" x14ac:dyDescent="0.2">
      <c r="B8" s="25" t="s">
        <v>125</v>
      </c>
      <c r="C8" s="13">
        <v>15.165496117418083</v>
      </c>
      <c r="D8" s="24">
        <v>0</v>
      </c>
      <c r="G8" s="81" t="s">
        <v>126</v>
      </c>
      <c r="H8" s="82">
        <v>4134.2352222222216</v>
      </c>
      <c r="I8" s="83">
        <v>0.19822788655399609</v>
      </c>
      <c r="J8" s="84">
        <v>13069</v>
      </c>
      <c r="K8" s="20"/>
      <c r="L8" s="20"/>
      <c r="M8" s="20"/>
      <c r="N8" s="20"/>
    </row>
    <row r="9" spans="2:14" ht="15" customHeight="1" x14ac:dyDescent="0.2">
      <c r="B9" s="27" t="s">
        <v>127</v>
      </c>
      <c r="C9" s="69">
        <v>7.0417914409305622</v>
      </c>
      <c r="D9" s="26">
        <v>6.7555555555555564</v>
      </c>
      <c r="G9" s="77" t="s">
        <v>128</v>
      </c>
      <c r="H9" s="78">
        <v>51632.874999999847</v>
      </c>
      <c r="I9" s="79">
        <v>2.4756877966065765</v>
      </c>
      <c r="J9" s="85">
        <v>1186</v>
      </c>
      <c r="K9" s="20"/>
      <c r="L9" s="20"/>
      <c r="M9" s="20"/>
      <c r="N9" s="20"/>
    </row>
    <row r="10" spans="2:14" ht="15" customHeight="1" x14ac:dyDescent="0.2">
      <c r="B10" s="30" t="s">
        <v>51</v>
      </c>
      <c r="C10" s="15"/>
      <c r="D10" s="29"/>
      <c r="G10" s="86" t="s">
        <v>119</v>
      </c>
      <c r="H10" s="87">
        <v>111283.87844444408</v>
      </c>
      <c r="I10" s="88">
        <v>5.3358279937725852</v>
      </c>
      <c r="J10" s="89">
        <v>1351</v>
      </c>
      <c r="K10" s="20"/>
      <c r="L10" s="20"/>
      <c r="M10" s="20"/>
      <c r="N10" s="20"/>
    </row>
    <row r="11" spans="2:14" ht="15" customHeight="1" x14ac:dyDescent="0.2">
      <c r="B11" s="30" t="s">
        <v>3</v>
      </c>
      <c r="C11" s="70">
        <v>14487</v>
      </c>
      <c r="D11" s="31"/>
      <c r="G11" s="77" t="s">
        <v>129</v>
      </c>
      <c r="H11" s="78">
        <v>62988.971999999616</v>
      </c>
      <c r="I11" s="79">
        <v>3.0201887712274949</v>
      </c>
      <c r="J11" s="85">
        <v>4625</v>
      </c>
      <c r="K11" s="20"/>
      <c r="L11" s="20"/>
      <c r="M11" s="20"/>
      <c r="N11" s="20"/>
    </row>
    <row r="12" spans="2:14" x14ac:dyDescent="0.2">
      <c r="B12" s="32" t="s">
        <v>54</v>
      </c>
      <c r="C12" s="70">
        <v>1251358.31111111</v>
      </c>
      <c r="D12" s="31"/>
      <c r="G12" s="81" t="s">
        <v>130</v>
      </c>
      <c r="H12" s="82">
        <v>48294.906444444445</v>
      </c>
      <c r="I12" s="83">
        <v>2.3156392225450895</v>
      </c>
      <c r="J12" s="84">
        <v>7961</v>
      </c>
      <c r="K12" s="20"/>
      <c r="L12" s="20"/>
      <c r="M12" s="20"/>
      <c r="N12" s="20"/>
    </row>
    <row r="13" spans="2:14" ht="15" customHeight="1" x14ac:dyDescent="0.2">
      <c r="B13" s="33" t="s">
        <v>131</v>
      </c>
      <c r="C13" s="71">
        <v>86.378015538835513</v>
      </c>
      <c r="D13" s="15"/>
      <c r="G13" s="86" t="s">
        <v>132</v>
      </c>
      <c r="H13" s="87">
        <v>202757.76111111167</v>
      </c>
      <c r="I13" s="88">
        <v>9.7218083411015197</v>
      </c>
      <c r="J13" s="90">
        <v>921</v>
      </c>
      <c r="K13" s="20"/>
      <c r="L13" s="20"/>
      <c r="M13" s="20"/>
      <c r="N13" s="20"/>
    </row>
    <row r="14" spans="2:14" ht="15" customHeight="1" x14ac:dyDescent="0.2">
      <c r="B14" s="72"/>
      <c r="C14" s="70">
        <v>20</v>
      </c>
      <c r="G14" s="81" t="s">
        <v>133</v>
      </c>
      <c r="H14" s="82">
        <v>64959.535777777433</v>
      </c>
      <c r="I14" s="83">
        <v>3.114673161203446</v>
      </c>
      <c r="J14" s="91">
        <v>3703</v>
      </c>
    </row>
    <row r="15" spans="2:14" ht="15" customHeight="1" x14ac:dyDescent="0.2">
      <c r="G15" s="77" t="s">
        <v>134</v>
      </c>
      <c r="H15" s="92">
        <v>137798.22533333351</v>
      </c>
      <c r="I15" s="79">
        <v>6.60713517989804</v>
      </c>
      <c r="J15" s="80">
        <v>3398</v>
      </c>
    </row>
    <row r="16" spans="2:14" ht="15" customHeight="1" x14ac:dyDescent="0.2">
      <c r="G16" s="86" t="s">
        <v>135</v>
      </c>
      <c r="H16" s="87">
        <v>175516.28144444441</v>
      </c>
      <c r="I16" s="88">
        <v>8.4156366670997436</v>
      </c>
      <c r="J16" s="90">
        <v>740</v>
      </c>
    </row>
    <row r="17" spans="7:11" ht="15" customHeight="1" x14ac:dyDescent="0.2">
      <c r="G17" s="77" t="s">
        <v>136</v>
      </c>
      <c r="H17" s="78">
        <v>82429.512333333405</v>
      </c>
      <c r="I17" s="79">
        <v>3.9523218059010929</v>
      </c>
      <c r="J17" s="80">
        <v>935</v>
      </c>
    </row>
    <row r="18" spans="7:11" ht="15" customHeight="1" x14ac:dyDescent="0.2">
      <c r="G18" s="81" t="s">
        <v>137</v>
      </c>
      <c r="H18" s="82">
        <v>89049.332888888835</v>
      </c>
      <c r="I18" s="83">
        <v>4.2697282831719017</v>
      </c>
      <c r="J18" s="91">
        <v>2319</v>
      </c>
    </row>
    <row r="19" spans="7:11" ht="15" customHeight="1" x14ac:dyDescent="0.2">
      <c r="G19" s="77" t="s">
        <v>138</v>
      </c>
      <c r="H19" s="93">
        <v>4037.4362222222207</v>
      </c>
      <c r="I19" s="79">
        <v>0.19358657802675019</v>
      </c>
      <c r="J19" s="80">
        <v>13823</v>
      </c>
    </row>
    <row r="20" spans="7:11" ht="15" customHeight="1" x14ac:dyDescent="0.2">
      <c r="G20" s="86" t="s">
        <v>139</v>
      </c>
      <c r="H20" s="94">
        <v>197668.611444446</v>
      </c>
      <c r="I20" s="88">
        <v>9.477794314672261</v>
      </c>
      <c r="J20" s="90">
        <v>639</v>
      </c>
    </row>
    <row r="21" spans="7:11" ht="15" customHeight="1" x14ac:dyDescent="0.2">
      <c r="G21" s="77" t="s">
        <v>140</v>
      </c>
      <c r="H21" s="78">
        <v>84266.726111110678</v>
      </c>
      <c r="I21" s="79">
        <v>4.0404123437493276</v>
      </c>
      <c r="J21" s="80">
        <v>787</v>
      </c>
    </row>
    <row r="22" spans="7:11" ht="15" customHeight="1" x14ac:dyDescent="0.2">
      <c r="G22" s="81" t="s">
        <v>141</v>
      </c>
      <c r="H22" s="82">
        <v>105070.05966666644</v>
      </c>
      <c r="I22" s="83">
        <v>5.0378884481155026</v>
      </c>
      <c r="J22" s="91">
        <v>1709</v>
      </c>
    </row>
    <row r="23" spans="7:11" ht="15" customHeight="1" x14ac:dyDescent="0.2">
      <c r="G23" s="77" t="s">
        <v>142</v>
      </c>
      <c r="H23" s="93">
        <v>8331.8256666666675</v>
      </c>
      <c r="I23" s="79">
        <v>0.39949352280732348</v>
      </c>
      <c r="J23" s="80">
        <v>12865</v>
      </c>
    </row>
    <row r="24" spans="7:11" ht="15" customHeight="1" x14ac:dyDescent="0.2">
      <c r="G24" s="81" t="s">
        <v>143</v>
      </c>
      <c r="H24" s="95">
        <v>6028.9736666666622</v>
      </c>
      <c r="I24" s="83">
        <v>0.28907661122161232</v>
      </c>
      <c r="J24" s="91">
        <v>13740</v>
      </c>
    </row>
    <row r="25" spans="7:11" ht="15" customHeight="1" x14ac:dyDescent="0.2">
      <c r="G25" s="77" t="s">
        <v>144</v>
      </c>
      <c r="H25" s="93">
        <v>6132.8605555555559</v>
      </c>
      <c r="I25" s="79">
        <v>0.29405776911858511</v>
      </c>
      <c r="J25" s="80">
        <v>13599</v>
      </c>
    </row>
    <row r="26" spans="7:11" ht="15" customHeight="1" x14ac:dyDescent="0.2">
      <c r="G26" s="81" t="s">
        <v>145</v>
      </c>
      <c r="H26" s="95">
        <v>610.83922222222202</v>
      </c>
      <c r="I26" s="83">
        <v>2.9288456398064457E-2</v>
      </c>
      <c r="J26" s="91">
        <v>14305</v>
      </c>
      <c r="K26" s="16"/>
    </row>
    <row r="27" spans="7:11" ht="15" customHeight="1" x14ac:dyDescent="0.2">
      <c r="G27" s="77" t="s">
        <v>146</v>
      </c>
      <c r="H27" s="93">
        <v>31092.492222222234</v>
      </c>
      <c r="I27" s="79">
        <v>1.4908196291730937</v>
      </c>
      <c r="J27" s="80">
        <v>13594</v>
      </c>
    </row>
    <row r="28" spans="7:11" ht="15" customHeight="1" x14ac:dyDescent="0.2">
      <c r="G28" s="81" t="s">
        <v>147</v>
      </c>
      <c r="H28" s="82">
        <v>28495.288555555453</v>
      </c>
      <c r="I28" s="83">
        <v>1.3662891740537766</v>
      </c>
      <c r="J28" s="91">
        <v>12601</v>
      </c>
    </row>
    <row r="29" spans="7:11" ht="15" customHeight="1" x14ac:dyDescent="0.2">
      <c r="G29" s="77" t="s">
        <v>148</v>
      </c>
      <c r="H29" s="78">
        <v>1231.2695555555558</v>
      </c>
      <c r="I29" s="79">
        <v>5.9036786408312572E-2</v>
      </c>
      <c r="J29" s="80">
        <v>14392</v>
      </c>
    </row>
    <row r="30" spans="7:11" ht="15" customHeight="1" x14ac:dyDescent="0.2">
      <c r="G30" s="81" t="s">
        <v>149</v>
      </c>
      <c r="H30" s="82">
        <v>2180.0312222222224</v>
      </c>
      <c r="I30" s="83">
        <v>0.10452791352557632</v>
      </c>
      <c r="J30" s="91">
        <v>13319</v>
      </c>
    </row>
    <row r="31" spans="7:11" ht="15" customHeight="1" x14ac:dyDescent="0.2">
      <c r="H31" s="23"/>
    </row>
    <row r="32" spans="7:11" ht="15" customHeight="1" x14ac:dyDescent="0.2">
      <c r="H32" s="35"/>
    </row>
    <row r="33" spans="7:9" ht="15" customHeight="1" x14ac:dyDescent="0.2">
      <c r="G33" s="23"/>
      <c r="H33" s="35"/>
    </row>
    <row r="34" spans="7:9" ht="15" customHeight="1" x14ac:dyDescent="0.2">
      <c r="G34" s="23"/>
      <c r="H34" s="35"/>
      <c r="I34" s="17"/>
    </row>
    <row r="35" spans="7:9" ht="15" customHeight="1" x14ac:dyDescent="0.2">
      <c r="G35" s="23"/>
      <c r="H35" s="16"/>
    </row>
    <row r="36" spans="7:9" ht="15" customHeight="1" x14ac:dyDescent="0.2">
      <c r="G36" s="23"/>
    </row>
    <row r="37" spans="7:9" ht="15" customHeight="1" x14ac:dyDescent="0.2">
      <c r="G37" s="23"/>
    </row>
    <row r="38" spans="7:9" ht="15" customHeight="1" x14ac:dyDescent="0.2">
      <c r="G38" s="23"/>
    </row>
    <row r="39" spans="7:9" ht="15" customHeight="1" x14ac:dyDescent="0.2">
      <c r="G39" s="23"/>
    </row>
    <row r="40" spans="7:9" ht="15" customHeight="1" x14ac:dyDescent="0.2">
      <c r="G40" s="23"/>
    </row>
    <row r="41" spans="7:9" ht="15" customHeight="1" x14ac:dyDescent="0.2">
      <c r="G41" s="23"/>
    </row>
    <row r="42" spans="7:9" ht="15" customHeight="1" x14ac:dyDescent="0.2">
      <c r="G42" s="23"/>
    </row>
    <row r="43" spans="7:9" ht="15" customHeight="1" x14ac:dyDescent="0.2">
      <c r="G43" s="17"/>
    </row>
    <row r="44" spans="7:9" ht="15" customHeight="1" x14ac:dyDescent="0.2">
      <c r="G44" s="23"/>
    </row>
    <row r="45" spans="7:9" ht="15" customHeight="1" x14ac:dyDescent="0.2">
      <c r="G45" s="23"/>
    </row>
    <row r="46" spans="7:9" ht="15" customHeight="1" x14ac:dyDescent="0.2">
      <c r="G46" s="23"/>
    </row>
    <row r="47" spans="7:9" ht="15" customHeight="1" x14ac:dyDescent="0.2">
      <c r="G47" s="23"/>
    </row>
    <row r="48" spans="7:9" ht="15" customHeight="1" x14ac:dyDescent="0.2">
      <c r="G48" s="23"/>
    </row>
    <row r="49" spans="7:7" ht="15" customHeight="1" x14ac:dyDescent="0.2">
      <c r="G49" s="23"/>
    </row>
    <row r="50" spans="7:7" ht="15" customHeight="1" x14ac:dyDescent="0.2">
      <c r="G50" s="23"/>
    </row>
    <row r="51" spans="7:7" ht="15" customHeight="1" x14ac:dyDescent="0.2">
      <c r="G51" s="23"/>
    </row>
    <row r="52" spans="7:7" ht="15" customHeight="1" x14ac:dyDescent="0.2">
      <c r="G52" s="23"/>
    </row>
    <row r="53" spans="7:7" ht="15" customHeight="1" x14ac:dyDescent="0.2">
      <c r="G53" s="23"/>
    </row>
    <row r="54" spans="7:7" ht="15" customHeight="1" x14ac:dyDescent="0.2">
      <c r="G54" s="23"/>
    </row>
    <row r="55" spans="7:7" ht="15" customHeight="1" x14ac:dyDescent="0.2">
      <c r="G55" s="23"/>
    </row>
    <row r="56" spans="7:7" x14ac:dyDescent="0.2">
      <c r="G56" s="23"/>
    </row>
    <row r="57" spans="7:7" x14ac:dyDescent="0.2">
      <c r="G57" s="23"/>
    </row>
    <row r="58" spans="7:7" x14ac:dyDescent="0.2">
      <c r="G58" s="23"/>
    </row>
    <row r="59" spans="7:7" x14ac:dyDescent="0.2">
      <c r="G59" s="23"/>
    </row>
    <row r="60" spans="7:7" x14ac:dyDescent="0.2">
      <c r="G60" s="23"/>
    </row>
    <row r="61" spans="7:7" x14ac:dyDescent="0.2">
      <c r="G61" s="23"/>
    </row>
    <row r="62" spans="7:7" x14ac:dyDescent="0.2">
      <c r="G62" s="23"/>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D8D66-DA7B-234C-8B71-B6DED29BCFA8}">
  <dimension ref="B1:AT62"/>
  <sheetViews>
    <sheetView zoomScaleNormal="100" workbookViewId="0"/>
  </sheetViews>
  <sheetFormatPr baseColWidth="10" defaultColWidth="8.83203125" defaultRowHeight="16" x14ac:dyDescent="0.2"/>
  <cols>
    <col min="1" max="1" width="3.6640625" style="1" customWidth="1"/>
    <col min="2" max="2" width="45.1640625" style="1" customWidth="1"/>
    <col min="3" max="4" width="11.5" style="1" customWidth="1"/>
    <col min="5" max="5" width="4.5" style="1" customWidth="1"/>
    <col min="6" max="20" width="9.5" style="1" customWidth="1"/>
    <col min="21" max="21" width="6.83203125" style="1" bestFit="1" customWidth="1"/>
    <col min="22" max="22" width="7.33203125" style="1" bestFit="1" customWidth="1"/>
    <col min="23" max="23" width="9.5" style="1" customWidth="1"/>
    <col min="24" max="36" width="9.5" style="36" customWidth="1"/>
    <col min="37" max="37" width="9.5" style="1" customWidth="1"/>
    <col min="38" max="38" width="5.5" style="1" customWidth="1"/>
    <col min="39" max="39" width="12.83203125" style="1" customWidth="1"/>
    <col min="40" max="40" width="11.1640625" style="1" customWidth="1"/>
    <col min="41" max="41" width="14.5" style="1" bestFit="1" customWidth="1"/>
    <col min="42" max="42" width="33.5" style="1" bestFit="1" customWidth="1"/>
    <col min="43" max="43" width="16" style="1" bestFit="1" customWidth="1"/>
    <col min="44" max="44" width="11.5" style="1" customWidth="1"/>
    <col min="45" max="45" width="18" style="1" customWidth="1"/>
    <col min="46" max="49" width="8.83203125" style="1"/>
    <col min="50" max="50" width="22.83203125" style="1" customWidth="1"/>
    <col min="51" max="51" width="16.5" style="1" customWidth="1"/>
    <col min="52" max="52" width="13.5" style="1" customWidth="1"/>
    <col min="53" max="16384" width="8.83203125" style="1"/>
  </cols>
  <sheetData>
    <row r="1" spans="2:46" ht="17" thickBot="1" x14ac:dyDescent="0.25"/>
    <row r="2" spans="2:46" s="61" customFormat="1" ht="103" thickBot="1" x14ac:dyDescent="0.25">
      <c r="B2" s="63" t="s">
        <v>187</v>
      </c>
      <c r="C2" s="63" t="s">
        <v>111</v>
      </c>
      <c r="D2" s="63" t="s">
        <v>1</v>
      </c>
      <c r="E2" s="96"/>
      <c r="F2" s="98" t="s">
        <v>2</v>
      </c>
      <c r="G2" s="98" t="s">
        <v>3</v>
      </c>
      <c r="H2" s="98" t="s">
        <v>4</v>
      </c>
      <c r="I2" s="98" t="s">
        <v>115</v>
      </c>
      <c r="J2" s="99" t="s">
        <v>150</v>
      </c>
      <c r="K2" s="98" t="s">
        <v>151</v>
      </c>
      <c r="L2" s="99" t="s">
        <v>152</v>
      </c>
      <c r="M2" s="98" t="s">
        <v>188</v>
      </c>
      <c r="N2" s="99" t="s">
        <v>189</v>
      </c>
      <c r="O2" s="98" t="s">
        <v>153</v>
      </c>
      <c r="P2" s="99" t="s">
        <v>154</v>
      </c>
      <c r="Q2" s="98" t="s">
        <v>121</v>
      </c>
      <c r="R2" s="99" t="s">
        <v>155</v>
      </c>
      <c r="S2" s="98" t="s">
        <v>123</v>
      </c>
      <c r="T2" s="99" t="s">
        <v>156</v>
      </c>
      <c r="U2" s="98" t="s">
        <v>125</v>
      </c>
      <c r="V2" s="99" t="s">
        <v>157</v>
      </c>
      <c r="W2" s="97"/>
      <c r="X2" s="106" t="s">
        <v>16</v>
      </c>
      <c r="Y2" s="106" t="s">
        <v>3</v>
      </c>
      <c r="Z2" s="106" t="s">
        <v>4</v>
      </c>
      <c r="AA2" s="106" t="s">
        <v>115</v>
      </c>
      <c r="AB2" s="107" t="s">
        <v>150</v>
      </c>
      <c r="AC2" s="106" t="s">
        <v>151</v>
      </c>
      <c r="AD2" s="107" t="s">
        <v>152</v>
      </c>
      <c r="AE2" s="106" t="s">
        <v>188</v>
      </c>
      <c r="AF2" s="107" t="s">
        <v>189</v>
      </c>
      <c r="AG2" s="106" t="s">
        <v>153</v>
      </c>
      <c r="AH2" s="107" t="s">
        <v>154</v>
      </c>
      <c r="AI2" s="106" t="s">
        <v>121</v>
      </c>
      <c r="AJ2" s="107" t="s">
        <v>155</v>
      </c>
      <c r="AK2" s="106" t="s">
        <v>123</v>
      </c>
      <c r="AL2" s="107" t="s">
        <v>156</v>
      </c>
      <c r="AM2" s="106" t="s">
        <v>125</v>
      </c>
      <c r="AN2" s="107" t="s">
        <v>157</v>
      </c>
      <c r="AO2" s="62"/>
      <c r="AP2" s="73" t="s">
        <v>17</v>
      </c>
      <c r="AQ2" s="74" t="s">
        <v>112</v>
      </c>
      <c r="AR2" s="75" t="s">
        <v>113</v>
      </c>
      <c r="AS2" s="76" t="s">
        <v>114</v>
      </c>
    </row>
    <row r="3" spans="2:46" x14ac:dyDescent="0.2">
      <c r="B3" s="12" t="s">
        <v>115</v>
      </c>
      <c r="C3" s="13">
        <v>3.7277034209978774</v>
      </c>
      <c r="D3" s="14">
        <v>3.9750684098510192</v>
      </c>
      <c r="F3" s="100">
        <v>1</v>
      </c>
      <c r="G3" s="101">
        <f>SUMIF([2]!NonNurse[CMS Region Number], CMSRegion1017[[#This Row],[CMS Region Number]], [2]!NonNurse[MDScensus])</f>
        <v>73524.588888888931</v>
      </c>
      <c r="H3" s="101">
        <f>COUNTIF([2]!NonNurse[CMS Region Number], CMSRegion1017[[#This Row],[CMS Region Number]])</f>
        <v>783</v>
      </c>
      <c r="I3" s="102">
        <f>SUMIF([2]!NonNurse[CMS Region Number], CMSRegion1017[[#This Row],[CMS Region Number]], [2]!NonNurse[Hrs_Admin])/SUMIF([2]!NonNurse[CMS Region Number], CMSRegion1017[[#This Row],[CMS Region Number]], [2]!NonNurse[MDScensus])*60</f>
        <v>3.3563988645975265</v>
      </c>
      <c r="J3" s="101">
        <f>RANK(CMSRegion1017[[#This Row],[Total Admin MPRD]],CMSRegion1017[Total Admin MPRD])</f>
        <v>7</v>
      </c>
      <c r="K3" s="102">
        <f>SUMIF([2]!NonNurse[CMS Region Number], CMSRegion1017[[#This Row],[CMS Region Number]], [2]!NonNurse[Hrs_MedDir])/SUMIF([2]!NonNurse[CMS Region Number], CMSRegion1017[[#This Row],[CMS Region Number]], [2]!NonNurse[MDScensus])*60</f>
        <v>0.29262165204595925</v>
      </c>
      <c r="L3" s="101">
        <f>RANK(CMSRegion1017[[#This Row],[Total MedDir MPRD]],CMSRegion1017[Total MedDir MPRD])</f>
        <v>3</v>
      </c>
      <c r="M3" s="102">
        <f>SUMIF([2]!NonNurse[CMS Region Number], CMSRegion1017[[#This Row],[CMS Region Number]], [2]!NonNurse[Hrs_Pharmacist])/SUMIF([2]!NonNurse[CMS Region Number], CMSRegion1017[[#This Row],[CMS Region Number]], [2]!NonNurse[MDScensus])*60</f>
        <v>0.22975560859231825</v>
      </c>
      <c r="N3" s="101">
        <f>RANK(CMSRegion1017[[#This Row],[Total Pharmacist MPRD]],CMSRegion1017[Total Pharmacist MPRD])</f>
        <v>9</v>
      </c>
      <c r="O3" s="102">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6.205628170046813</v>
      </c>
      <c r="P3" s="101">
        <f>RANK(CMSRegion1017[[#This Row],[Total Social Work MPRD]],CMSRegion1017[Total Social Work MPRD])</f>
        <v>2</v>
      </c>
      <c r="Q3" s="102">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15.196872641265722</v>
      </c>
      <c r="R3" s="101">
        <f>RANK(CMSRegion1017[[#This Row],[Total OT MPRD]],CMSRegion1017[Total OT MPRD])</f>
        <v>5</v>
      </c>
      <c r="S3" s="102">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13.200466496675741</v>
      </c>
      <c r="T3" s="101">
        <f>RANK(CMSRegion1017[[#This Row],[Total PT MPRD]],CMSRegion1017[Total PT MPRD])</f>
        <v>9</v>
      </c>
      <c r="U3" s="102">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6.7864143041247065</v>
      </c>
      <c r="V3" s="101">
        <f>RANK(CMSRegion1017[[#This Row],[Total Activities MPRD]], CMSRegion1017[Total Activities MPRD])</f>
        <v>7</v>
      </c>
      <c r="W3" s="16"/>
      <c r="X3" s="108" t="s">
        <v>21</v>
      </c>
      <c r="Y3" s="101">
        <f>SUMIF([2]!NonNurse[STATE], State112010[[#This Row],[State]], [2]!NonNurse[MDScensus])</f>
        <v>656.37777777777774</v>
      </c>
      <c r="Z3" s="101">
        <f>COUNTIF([2]!NonNurse[STATE], State112010[[#This Row],[State]])</f>
        <v>15</v>
      </c>
      <c r="AA3" s="102">
        <f>SUMIF([2]!NonNurse[STATE], State112010[[#This Row],[State]], [2]!NonNurse[Hrs_Admin])/SUMIF([2]!NonNurse[STATE], State112010[[#This Row],[State]], [2]!NonNurse[MDScensus])*60</f>
        <v>5.9863899515861441</v>
      </c>
      <c r="AB3" s="101">
        <f>RANK(State112010[[#This Row],[Total Admin MPRD]],State112010[Total Admin MPRD])</f>
        <v>2</v>
      </c>
      <c r="AC3" s="102">
        <f>SUMIF([2]!NonNurse[STATE], State112010[[#This Row],[State]], [2]!NonNurse[Hrs_MedDir])/SUMIF([2]!NonNurse[STATE], State112010[[#This Row],[State]], [2]!NonNurse[MDScensus])*60</f>
        <v>1.1487287131394524</v>
      </c>
      <c r="AD3" s="101">
        <f>RANK(State112010[[#This Row],[Total MedDir MPRD]],State112010[Total MedDir MPRD])</f>
        <v>2</v>
      </c>
      <c r="AE3" s="102">
        <f>SUMIF([2]!NonNurse[STATE], State112010[[#This Row],[State]], [2]!NonNurse[Hrs_Pharmacist])/SUMIF([2]!NonNurse[STATE], State112010[[#This Row],[State]], [2]!NonNurse[MDScensus])*60</f>
        <v>0.57036259606595108</v>
      </c>
      <c r="AF3" s="101">
        <f>RANK(State112010[[#This Row],[Total Pharmacist MPRD]],State112010[Total Pharmacist MPRD])</f>
        <v>5</v>
      </c>
      <c r="AG3" s="102">
        <f>(SUMIF([2]!NonNurse[STATE], State112010[[#This Row],[State]], [2]!NonNurse[Hrs_SpcLangPath]) + SUMIF([2]!NonNurse[STATE], State112010[[#This Row],[State]], [2]!NonNurse[Hrs_QualSocWrk])) / SUMIF([2]!NonNurse[STATE], State112010[[#This Row],[State]], [2]!NonNurse[MDScensus]) * 60</f>
        <v>3.943470900903951</v>
      </c>
      <c r="AH3" s="101">
        <f>RANK(State112010[[#This Row],[Total Social Work MPRD]],State112010[Total Social Work MPRD])</f>
        <v>50</v>
      </c>
      <c r="AI3"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29.374969533758502</v>
      </c>
      <c r="AJ3" s="101">
        <f>RANK(State112010[[#This Row],[Total OT MPRD]],State112010[Total OT MPRD])</f>
        <v>1</v>
      </c>
      <c r="AK3"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17.733643529477689</v>
      </c>
      <c r="AL3" s="101">
        <f>RANK(State112010[[#This Row],[Total PT MPRD]],State112010[Total PT MPRD])</f>
        <v>13</v>
      </c>
      <c r="AM3" s="102">
        <f>(SUMIF([2]!NonNurse[STATE], State112010[[#This Row],[State]], [2]!NonNurse[MPRD: Total Social Work]) + SUMIF([2]!NonNurse[STATE], State112010[[#This Row],[State]], [2]!NonNurse[Hrs_QualActvProf])) / SUMIF([2]!NonNurse[STATE], State112010[[#This Row],[State]], [2]!NonNurse[MDScensus]) * 60</f>
        <v>10.31330710817031</v>
      </c>
      <c r="AN3" s="109">
        <f>RANK(State112010[[#This Row],[Total Activities MPRD]], State112010[Total Activities MPRD])</f>
        <v>12</v>
      </c>
      <c r="AO3" s="17"/>
      <c r="AP3" s="77" t="s">
        <v>116</v>
      </c>
      <c r="AQ3" s="78">
        <f>SUM([2]!NonNurse[Hrs_Admin])</f>
        <v>77620.784444444842</v>
      </c>
      <c r="AR3" s="79">
        <f>[2]!Category122114[[#This Row],[US Total Hours]]/SUMIFS([2]!NonNurse[MDScensus], [2]!NonNurse[Hrs_Admin_fn], "&lt;&gt;1")*60</f>
        <v>3.7277034209978774</v>
      </c>
      <c r="AS3" s="80">
        <f>COUNTIF([2]!NonNurse[Hrs_Admin], 0)</f>
        <v>372</v>
      </c>
    </row>
    <row r="4" spans="2:46" x14ac:dyDescent="0.2">
      <c r="B4" s="12" t="s">
        <v>117</v>
      </c>
      <c r="C4" s="13">
        <v>0.25909821654421056</v>
      </c>
      <c r="D4" s="13">
        <v>0.14888337468982629</v>
      </c>
      <c r="F4" s="1">
        <v>2</v>
      </c>
      <c r="G4" s="16">
        <f>SUMIF([2]!NonNurse[CMS Region Number], CMSRegion1017[[#This Row],[CMS Region Number]], [2]!NonNurse[MDScensus])</f>
        <v>141454.15555555536</v>
      </c>
      <c r="H4" s="16">
        <f>COUNTIF([2]!NonNurse[CMS Region Number], CMSRegion1017[[#This Row],[CMS Region Number]])</f>
        <v>945</v>
      </c>
      <c r="I4" s="17">
        <f>SUMIF([2]!NonNurse[CMS Region Number], CMSRegion1017[[#This Row],[CMS Region Number]], [2]!NonNurse[Hrs_Admin])/SUMIF([2]!NonNurse[CMS Region Number], CMSRegion1017[[#This Row],[CMS Region Number]], [2]!NonNurse[MDScensus])*60</f>
        <v>2.2224972613820562</v>
      </c>
      <c r="J4" s="16">
        <f>RANK(CMSRegion1017[[#This Row],[Total Admin MPRD]],CMSRegion1017[Total Admin MPRD])</f>
        <v>10</v>
      </c>
      <c r="K4" s="17">
        <f>SUMIF([2]!NonNurse[CMS Region Number], CMSRegion1017[[#This Row],[CMS Region Number]], [2]!NonNurse[Hrs_MedDir])/SUMIF([2]!NonNurse[CMS Region Number], CMSRegion1017[[#This Row],[CMS Region Number]], [2]!NonNurse[MDScensus])*60</f>
        <v>0.36806374801918584</v>
      </c>
      <c r="L4" s="16">
        <f>RANK(CMSRegion1017[[#This Row],[Total MedDir MPRD]],CMSRegion1017[Total MedDir MPRD])</f>
        <v>2</v>
      </c>
      <c r="M4" s="17">
        <f>SUMIF([2]!NonNurse[CMS Region Number], CMSRegion1017[[#This Row],[CMS Region Number]], [2]!NonNurse[Hrs_Pharmacist])/SUMIF([2]!NonNurse[CMS Region Number], CMSRegion1017[[#This Row],[CMS Region Number]], [2]!NonNurse[MDScensus])*60</f>
        <v>0.30791733544766836</v>
      </c>
      <c r="N4" s="16">
        <f>RANK(CMSRegion1017[[#This Row],[Total Pharmacist MPRD]],CMSRegion1017[Total Pharmacist MPRD])</f>
        <v>3</v>
      </c>
      <c r="O4" s="17">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5.4398121919987608</v>
      </c>
      <c r="P4" s="16">
        <f>RANK(CMSRegion1017[[#This Row],[Total Social Work MPRD]],CMSRegion1017[Total Social Work MPRD])</f>
        <v>6</v>
      </c>
      <c r="Q4" s="17">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13.283269535862864</v>
      </c>
      <c r="R4" s="16">
        <f>RANK(CMSRegion1017[[#This Row],[Total OT MPRD]],CMSRegion1017[Total OT MPRD])</f>
        <v>9</v>
      </c>
      <c r="S4" s="17">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13.776102868096967</v>
      </c>
      <c r="T4" s="16">
        <f>RANK(CMSRegion1017[[#This Row],[Total PT MPRD]],CMSRegion1017[Total PT MPRD])</f>
        <v>8</v>
      </c>
      <c r="U4" s="17">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4.1695487707324999</v>
      </c>
      <c r="V4" s="16">
        <f>RANK(CMSRegion1017[[#This Row],[Total Activities MPRD]], CMSRegion1017[Total Activities MPRD])</f>
        <v>10</v>
      </c>
      <c r="W4" s="16"/>
      <c r="X4" s="23" t="s">
        <v>25</v>
      </c>
      <c r="Y4" s="16">
        <f>SUMIF([2]!NonNurse[STATE], State112010[[#This Row],[State]], [2]!NonNurse[MDScensus])</f>
        <v>21926.3</v>
      </c>
      <c r="Z4" s="16">
        <f>COUNTIF([2]!NonNurse[STATE], State112010[[#This Row],[State]])</f>
        <v>223</v>
      </c>
      <c r="AA4" s="17">
        <f>SUMIF([2]!NonNurse[STATE], State112010[[#This Row],[State]], [2]!NonNurse[Hrs_Admin])/SUMIF([2]!NonNurse[STATE], State112010[[#This Row],[State]], [2]!NonNurse[MDScensus])*60</f>
        <v>3.4119126345986324</v>
      </c>
      <c r="AB4" s="16">
        <f>RANK(State112010[[#This Row],[Total Admin MPRD]],State112010[Total Admin MPRD])</f>
        <v>39</v>
      </c>
      <c r="AC4" s="17">
        <f>SUMIF([2]!NonNurse[STATE], State112010[[#This Row],[State]], [2]!NonNurse[Hrs_MedDir])/SUMIF([2]!NonNurse[STATE], State112010[[#This Row],[State]], [2]!NonNurse[MDScensus])*60</f>
        <v>0.26717017158997791</v>
      </c>
      <c r="AD4" s="16">
        <f>RANK(State112010[[#This Row],[Total MedDir MPRD]],State112010[Total MedDir MPRD])</f>
        <v>26</v>
      </c>
      <c r="AE4" s="17">
        <f>SUMIF([2]!NonNurse[STATE], State112010[[#This Row],[State]], [2]!NonNurse[Hrs_Pharmacist])/SUMIF([2]!NonNurse[STATE], State112010[[#This Row],[State]], [2]!NonNurse[MDScensus])*60</f>
        <v>0.25109358776142499</v>
      </c>
      <c r="AF4" s="16">
        <f>RANK(State112010[[#This Row],[Total Pharmacist MPRD]],State112010[Total Pharmacist MPRD])</f>
        <v>33</v>
      </c>
      <c r="AG4" s="17">
        <f>(SUMIF([2]!NonNurse[STATE], State112010[[#This Row],[State]], [2]!NonNurse[Hrs_SpcLangPath]) + SUMIF([2]!NonNurse[STATE], State112010[[#This Row],[State]], [2]!NonNurse[Hrs_QualSocWrk])) / SUMIF([2]!NonNurse[STATE], State112010[[#This Row],[State]], [2]!NonNurse[MDScensus]) * 60</f>
        <v>5.3739028776704991</v>
      </c>
      <c r="AH4" s="16">
        <f>RANK(State112010[[#This Row],[Total Social Work MPRD]],State112010[Total Social Work MPRD])</f>
        <v>28</v>
      </c>
      <c r="AI4"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9.7556376662396644</v>
      </c>
      <c r="AJ4" s="16">
        <f>RANK(State112010[[#This Row],[Total OT MPRD]],State112010[Total OT MPRD])</f>
        <v>50</v>
      </c>
      <c r="AK4"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9.8847088930418536</v>
      </c>
      <c r="AL4" s="16">
        <f>RANK(State112010[[#This Row],[Total PT MPRD]],State112010[Total PT MPRD])</f>
        <v>49</v>
      </c>
      <c r="AM4" s="17">
        <f>(SUMIF([2]!NonNurse[STATE], State112010[[#This Row],[State]], [2]!NonNurse[MPRD: Total Social Work]) + SUMIF([2]!NonNurse[STATE], State112010[[#This Row],[State]], [2]!NonNurse[Hrs_QualActvProf])) / SUMIF([2]!NonNurse[STATE], State112010[[#This Row],[State]], [2]!NonNurse[MDScensus]) * 60</f>
        <v>5.0706783582150923</v>
      </c>
      <c r="AN4" s="36">
        <f>RANK(State112010[[#This Row],[Total Activities MPRD]], State112010[Total Activities MPRD])</f>
        <v>47</v>
      </c>
      <c r="AO4" s="17"/>
      <c r="AP4" s="81" t="s">
        <v>118</v>
      </c>
      <c r="AQ4" s="82">
        <f>SUM([2]!NonNurse[Hrs_MedDir])</f>
        <v>5403.7451111110668</v>
      </c>
      <c r="AR4" s="83">
        <f>[2]!Category122114[[#This Row],[US Total Hours]]/SUM([2]!NonNurse[MDScensus])*60</f>
        <v>0.25909821654421056</v>
      </c>
      <c r="AS4" s="84">
        <f>COUNTIF([2]!NonNurse[Hrs_MedDir], 0)</f>
        <v>4753</v>
      </c>
    </row>
    <row r="5" spans="2:46" x14ac:dyDescent="0.2">
      <c r="B5" s="18" t="s">
        <v>119</v>
      </c>
      <c r="C5" s="13">
        <v>0.26195632678189879</v>
      </c>
      <c r="D5" s="13">
        <v>0.18354451209478359</v>
      </c>
      <c r="F5" s="100">
        <v>3</v>
      </c>
      <c r="G5" s="101">
        <f>SUMIF([2]!NonNurse[CMS Region Number], CMSRegion1017[[#This Row],[CMS Region Number]], [2]!NonNurse[MDScensus])</f>
        <v>135012.48888888911</v>
      </c>
      <c r="H5" s="101">
        <f>COUNTIF([2]!NonNurse[CMS Region Number], CMSRegion1017[[#This Row],[CMS Region Number]])</f>
        <v>1330</v>
      </c>
      <c r="I5" s="102">
        <f>SUMIF([2]!NonNurse[CMS Region Number], CMSRegion1017[[#This Row],[CMS Region Number]], [2]!NonNurse[Hrs_Admin])/SUMIF([2]!NonNurse[CMS Region Number], CMSRegion1017[[#This Row],[CMS Region Number]], [2]!NonNurse[MDScensus])*60</f>
        <v>3.1796652556586489</v>
      </c>
      <c r="J5" s="101">
        <f>RANK(CMSRegion1017[[#This Row],[Total Admin MPRD]],CMSRegion1017[Total Admin MPRD])</f>
        <v>9</v>
      </c>
      <c r="K5" s="102">
        <f>SUMIF([2]!NonNurse[CMS Region Number], CMSRegion1017[[#This Row],[CMS Region Number]], [2]!NonNurse[Hrs_MedDir])/SUMIF([2]!NonNurse[CMS Region Number], CMSRegion1017[[#This Row],[CMS Region Number]], [2]!NonNurse[MDScensus])*60</f>
        <v>0.22577985378142768</v>
      </c>
      <c r="L5" s="101">
        <f>RANK(CMSRegion1017[[#This Row],[Total MedDir MPRD]],CMSRegion1017[Total MedDir MPRD])</f>
        <v>7</v>
      </c>
      <c r="M5" s="102">
        <f>SUMIF([2]!NonNurse[CMS Region Number], CMSRegion1017[[#This Row],[CMS Region Number]], [2]!NonNurse[Hrs_Pharmacist])/SUMIF([2]!NonNurse[CMS Region Number], CMSRegion1017[[#This Row],[CMS Region Number]], [2]!NonNurse[MDScensus])*60</f>
        <v>0.24755828349706538</v>
      </c>
      <c r="N5" s="101">
        <f>RANK(CMSRegion1017[[#This Row],[Total Pharmacist MPRD]],CMSRegion1017[Total Pharmacist MPRD])</f>
        <v>7</v>
      </c>
      <c r="O5" s="102">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6.0625239936651028</v>
      </c>
      <c r="P5" s="101">
        <f>RANK(CMSRegion1017[[#This Row],[Total Social Work MPRD]],CMSRegion1017[Total Social Work MPRD])</f>
        <v>4</v>
      </c>
      <c r="Q5" s="102">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15.007286011743918</v>
      </c>
      <c r="R5" s="101">
        <f>RANK(CMSRegion1017[[#This Row],[Total OT MPRD]],CMSRegion1017[Total OT MPRD])</f>
        <v>6</v>
      </c>
      <c r="S5" s="102">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14.571855962977885</v>
      </c>
      <c r="T5" s="101">
        <f>RANK(CMSRegion1017[[#This Row],[Total PT MPRD]],CMSRegion1017[Total PT MPRD])</f>
        <v>6</v>
      </c>
      <c r="U5" s="102">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6.0008206759800418</v>
      </c>
      <c r="V5" s="101">
        <f>RANK(CMSRegion1017[[#This Row],[Total Activities MPRD]], CMSRegion1017[Total Activities MPRD])</f>
        <v>9</v>
      </c>
      <c r="W5" s="16"/>
      <c r="X5" s="108" t="s">
        <v>28</v>
      </c>
      <c r="Y5" s="101">
        <f>SUMIF([2]!NonNurse[STATE], State112010[[#This Row],[State]], [2]!NonNurse[MDScensus])</f>
        <v>16892.411111111112</v>
      </c>
      <c r="Z5" s="101">
        <f>COUNTIF([2]!NonNurse[STATE], State112010[[#This Row],[State]])</f>
        <v>218</v>
      </c>
      <c r="AA5" s="102">
        <f>SUMIF([2]!NonNurse[STATE], State112010[[#This Row],[State]], [2]!NonNurse[Hrs_Admin])/SUMIF([2]!NonNurse[STATE], State112010[[#This Row],[State]], [2]!NonNurse[MDScensus])*60</f>
        <v>4.349459224622227</v>
      </c>
      <c r="AB5" s="101">
        <f>RANK(State112010[[#This Row],[Total Admin MPRD]],State112010[Total Admin MPRD])</f>
        <v>20</v>
      </c>
      <c r="AC5" s="102">
        <f>SUMIF([2]!NonNurse[STATE], State112010[[#This Row],[State]], [2]!NonNurse[Hrs_MedDir])/SUMIF([2]!NonNurse[STATE], State112010[[#This Row],[State]], [2]!NonNurse[MDScensus])*60</f>
        <v>0.19062129805823397</v>
      </c>
      <c r="AD5" s="101">
        <f>RANK(State112010[[#This Row],[Total MedDir MPRD]],State112010[Total MedDir MPRD])</f>
        <v>44</v>
      </c>
      <c r="AE5" s="102">
        <f>SUMIF([2]!NonNurse[STATE], State112010[[#This Row],[State]], [2]!NonNurse[Hrs_Pharmacist])/SUMIF([2]!NonNurse[STATE], State112010[[#This Row],[State]], [2]!NonNurse[MDScensus])*60</f>
        <v>0.16966001169492939</v>
      </c>
      <c r="AF5" s="101">
        <f>RANK(State112010[[#This Row],[Total Pharmacist MPRD]],State112010[Total Pharmacist MPRD])</f>
        <v>43</v>
      </c>
      <c r="AG5" s="102">
        <f>(SUMIF([2]!NonNurse[STATE], State112010[[#This Row],[State]], [2]!NonNurse[Hrs_SpcLangPath]) + SUMIF([2]!NonNurse[STATE], State112010[[#This Row],[State]], [2]!NonNurse[Hrs_QualSocWrk])) / SUMIF([2]!NonNurse[STATE], State112010[[#This Row],[State]], [2]!NonNurse[MDScensus]) * 60</f>
        <v>3.4044001349718513</v>
      </c>
      <c r="AH5" s="101">
        <f>RANK(State112010[[#This Row],[Total Social Work MPRD]],State112010[Total Social Work MPRD])</f>
        <v>52</v>
      </c>
      <c r="AI5"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7.7634113887001446</v>
      </c>
      <c r="AJ5" s="101">
        <f>RANK(State112010[[#This Row],[Total OT MPRD]],State112010[Total OT MPRD])</f>
        <v>52</v>
      </c>
      <c r="AK5"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8.3413347124699406</v>
      </c>
      <c r="AL5" s="101">
        <f>RANK(State112010[[#This Row],[Total PT MPRD]],State112010[Total PT MPRD])</f>
        <v>51</v>
      </c>
      <c r="AM5" s="102">
        <f>(SUMIF([2]!NonNurse[STATE], State112010[[#This Row],[State]], [2]!NonNurse[MPRD: Total Social Work]) + SUMIF([2]!NonNurse[STATE], State112010[[#This Row],[State]], [2]!NonNurse[Hrs_QualActvProf])) / SUMIF([2]!NonNurse[STATE], State112010[[#This Row],[State]], [2]!NonNurse[MDScensus]) * 60</f>
        <v>5.6902725776895018</v>
      </c>
      <c r="AN5" s="109">
        <f>RANK(State112010[[#This Row],[Total Activities MPRD]], State112010[Total Activities MPRD])</f>
        <v>44</v>
      </c>
      <c r="AO5" s="17"/>
      <c r="AP5" s="77" t="s">
        <v>120</v>
      </c>
      <c r="AQ5" s="78">
        <f>SUM([2]!NonNurse[Hrs_Pharmacist])</f>
        <v>5463.3537777777819</v>
      </c>
      <c r="AR5" s="79">
        <f>[2]!Category122114[[#This Row],[US Total Hours]]/SUM([2]!NonNurse[MDScensus])*60</f>
        <v>0.26195632678189879</v>
      </c>
      <c r="AS5" s="85">
        <f>COUNTIF([2]!NonNurse[Hrs_Pharmacist], 0)</f>
        <v>6051</v>
      </c>
      <c r="AT5" s="20"/>
    </row>
    <row r="6" spans="2:46" x14ac:dyDescent="0.2">
      <c r="B6" s="21" t="s">
        <v>121</v>
      </c>
      <c r="C6" s="13">
        <v>5.4958765678341193</v>
      </c>
      <c r="D6" s="19">
        <v>0</v>
      </c>
      <c r="F6" s="1">
        <v>4</v>
      </c>
      <c r="G6" s="16">
        <f>SUMIF([2]!NonNurse[CMS Region Number], CMSRegion1017[[#This Row],[CMS Region Number]], [2]!NonNurse[MDScensus])</f>
        <v>243273.46666666653</v>
      </c>
      <c r="H6" s="16">
        <f>COUNTIF([2]!NonNurse[CMS Region Number], CMSRegion1017[[#This Row],[CMS Region Number]])</f>
        <v>2615</v>
      </c>
      <c r="I6" s="17">
        <f>SUMIF([2]!NonNurse[CMS Region Number], CMSRegion1017[[#This Row],[CMS Region Number]], [2]!NonNurse[Hrs_Admin])/SUMIF([2]!NonNurse[CMS Region Number], CMSRegion1017[[#This Row],[CMS Region Number]], [2]!NonNurse[MDScensus])*60</f>
        <v>3.5741444607468371</v>
      </c>
      <c r="J6" s="16">
        <f>RANK(CMSRegion1017[[#This Row],[Total Admin MPRD]],CMSRegion1017[Total Admin MPRD])</f>
        <v>6</v>
      </c>
      <c r="K6" s="17">
        <f>SUMIF([2]!NonNurse[CMS Region Number], CMSRegion1017[[#This Row],[CMS Region Number]], [2]!NonNurse[Hrs_MedDir])/SUMIF([2]!NonNurse[CMS Region Number], CMSRegion1017[[#This Row],[CMS Region Number]], [2]!NonNurse[MDScensus])*60</f>
        <v>0.24807525248677606</v>
      </c>
      <c r="L6" s="16">
        <f>RANK(CMSRegion1017[[#This Row],[Total MedDir MPRD]],CMSRegion1017[Total MedDir MPRD])</f>
        <v>5</v>
      </c>
      <c r="M6" s="17">
        <f>SUMIF([2]!NonNurse[CMS Region Number], CMSRegion1017[[#This Row],[CMS Region Number]], [2]!NonNurse[Hrs_Pharmacist])/SUMIF([2]!NonNurse[CMS Region Number], CMSRegion1017[[#This Row],[CMS Region Number]], [2]!NonNurse[MDScensus])*60</f>
        <v>0.2476994065937318</v>
      </c>
      <c r="N6" s="16">
        <f>RANK(CMSRegion1017[[#This Row],[Total Pharmacist MPRD]],CMSRegion1017[Total Pharmacist MPRD])</f>
        <v>6</v>
      </c>
      <c r="O6" s="17">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6.1651757062422625</v>
      </c>
      <c r="P6" s="16">
        <f>RANK(CMSRegion1017[[#This Row],[Total Social Work MPRD]],CMSRegion1017[Total Social Work MPRD])</f>
        <v>3</v>
      </c>
      <c r="Q6" s="17">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13.693929041608367</v>
      </c>
      <c r="R6" s="16">
        <f>RANK(CMSRegion1017[[#This Row],[Total OT MPRD]],CMSRegion1017[Total OT MPRD])</f>
        <v>8</v>
      </c>
      <c r="S6" s="17">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15.505772631357015</v>
      </c>
      <c r="T6" s="16">
        <f>RANK(CMSRegion1017[[#This Row],[Total PT MPRD]],CMSRegion1017[Total PT MPRD])</f>
        <v>4</v>
      </c>
      <c r="U6" s="17">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6.9046660862961549</v>
      </c>
      <c r="V6" s="16">
        <f>RANK(CMSRegion1017[[#This Row],[Total Activities MPRD]], CMSRegion1017[Total Activities MPRD])</f>
        <v>6</v>
      </c>
      <c r="W6" s="16"/>
      <c r="X6" s="23" t="s">
        <v>31</v>
      </c>
      <c r="Y6" s="16">
        <f>SUMIF([2]!NonNurse[STATE], State112010[[#This Row],[State]], [2]!NonNurse[MDScensus])</f>
        <v>12256.288888888881</v>
      </c>
      <c r="Z6" s="16">
        <f>COUNTIF([2]!NonNurse[STATE], State112010[[#This Row],[State]])</f>
        <v>139</v>
      </c>
      <c r="AA6" s="17">
        <f>SUMIF([2]!NonNurse[STATE], State112010[[#This Row],[State]], [2]!NonNurse[Hrs_Admin])/SUMIF([2]!NonNurse[STATE], State112010[[#This Row],[State]], [2]!NonNurse[MDScensus])*60</f>
        <v>3.6149055450897762</v>
      </c>
      <c r="AB6" s="16">
        <f>RANK(State112010[[#This Row],[Total Admin MPRD]],State112010[Total Admin MPRD])</f>
        <v>36</v>
      </c>
      <c r="AC6" s="17">
        <f>SUMIF([2]!NonNurse[STATE], State112010[[#This Row],[State]], [2]!NonNurse[Hrs_MedDir])/SUMIF([2]!NonNurse[STATE], State112010[[#This Row],[State]], [2]!NonNurse[MDScensus])*60</f>
        <v>0.28353117583172732</v>
      </c>
      <c r="AD6" s="16">
        <f>RANK(State112010[[#This Row],[Total MedDir MPRD]],State112010[Total MedDir MPRD])</f>
        <v>21</v>
      </c>
      <c r="AE6" s="17">
        <f>SUMIF([2]!NonNurse[STATE], State112010[[#This Row],[State]], [2]!NonNurse[Hrs_Pharmacist])/SUMIF([2]!NonNurse[STATE], State112010[[#This Row],[State]], [2]!NonNurse[MDScensus])*60</f>
        <v>0.16622432383919014</v>
      </c>
      <c r="AF6" s="16">
        <f>RANK(State112010[[#This Row],[Total Pharmacist MPRD]],State112010[Total Pharmacist MPRD])</f>
        <v>46</v>
      </c>
      <c r="AG6" s="17">
        <f>(SUMIF([2]!NonNurse[STATE], State112010[[#This Row],[State]], [2]!NonNurse[Hrs_SpcLangPath]) + SUMIF([2]!NonNurse[STATE], State112010[[#This Row],[State]], [2]!NonNurse[Hrs_QualSocWrk])) / SUMIF([2]!NonNurse[STATE], State112010[[#This Row],[State]], [2]!NonNurse[MDScensus]) * 60</f>
        <v>4.4276670661592377</v>
      </c>
      <c r="AH6" s="16">
        <f>RANK(State112010[[#This Row],[Total Social Work MPRD]],State112010[Total Social Work MPRD])</f>
        <v>45</v>
      </c>
      <c r="AI6"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17.831092663790066</v>
      </c>
      <c r="AJ6" s="16">
        <f>RANK(State112010[[#This Row],[Total OT MPRD]],State112010[Total OT MPRD])</f>
        <v>20</v>
      </c>
      <c r="AK6"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20.884566421518894</v>
      </c>
      <c r="AL6" s="16">
        <f>RANK(State112010[[#This Row],[Total PT MPRD]],State112010[Total PT MPRD])</f>
        <v>3</v>
      </c>
      <c r="AM6" s="17">
        <f>(SUMIF([2]!NonNurse[STATE], State112010[[#This Row],[State]], [2]!NonNurse[MPRD: Total Social Work]) + SUMIF([2]!NonNurse[STATE], State112010[[#This Row],[State]], [2]!NonNurse[Hrs_QualActvProf])) / SUMIF([2]!NonNurse[STATE], State112010[[#This Row],[State]], [2]!NonNurse[MDScensus]) * 60</f>
        <v>9.4346930772229403</v>
      </c>
      <c r="AN6" s="36">
        <f>RANK(State112010[[#This Row],[Total Activities MPRD]], State112010[Total Activities MPRD])</f>
        <v>18</v>
      </c>
      <c r="AO6" s="17"/>
      <c r="AP6" s="81" t="s">
        <v>122</v>
      </c>
      <c r="AQ6" s="82">
        <f>SUM([2]!NonNurse[Hrs_Dietician])</f>
        <v>37285.380333333545</v>
      </c>
      <c r="AR6" s="83">
        <f>[2]!Category122114[[#This Row],[US Total Hours]]/SUM([2]!NonNurse[MDScensus])*60</f>
        <v>1.7877555933708704</v>
      </c>
      <c r="AS6" s="84">
        <f>COUNTIF([2]!NonNurse[Hrs_Dietician], 0)</f>
        <v>3998</v>
      </c>
      <c r="AT6" s="20"/>
    </row>
    <row r="7" spans="2:46" x14ac:dyDescent="0.2">
      <c r="B7" s="18" t="s">
        <v>123</v>
      </c>
      <c r="C7" s="22">
        <v>15.492981867253775</v>
      </c>
      <c r="D7" s="13">
        <v>0</v>
      </c>
      <c r="F7" s="100">
        <v>5</v>
      </c>
      <c r="G7" s="101">
        <f>SUMIF([2]!NonNurse[CMS Region Number], CMSRegion1017[[#This Row],[CMS Region Number]], [2]!NonNurse[MDScensus])</f>
        <v>241095.62222222192</v>
      </c>
      <c r="H7" s="101">
        <f>COUNTIF([2]!NonNurse[CMS Region Number], CMSRegion1017[[#This Row],[CMS Region Number]])</f>
        <v>3154</v>
      </c>
      <c r="I7" s="102">
        <f>SUMIF([2]!NonNurse[CMS Region Number], CMSRegion1017[[#This Row],[CMS Region Number]], [2]!NonNurse[Hrs_Admin])/SUMIF([2]!NonNurse[CMS Region Number], CMSRegion1017[[#This Row],[CMS Region Number]], [2]!NonNurse[MDScensus])*60</f>
        <v>4.134875023768859</v>
      </c>
      <c r="J7" s="101">
        <f>RANK(CMSRegion1017[[#This Row],[Total Admin MPRD]],CMSRegion1017[Total Admin MPRD])</f>
        <v>5</v>
      </c>
      <c r="K7" s="102">
        <f>SUMIF([2]!NonNurse[CMS Region Number], CMSRegion1017[[#This Row],[CMS Region Number]], [2]!NonNurse[Hrs_MedDir])/SUMIF([2]!NonNurse[CMS Region Number], CMSRegion1017[[#This Row],[CMS Region Number]], [2]!NonNurse[MDScensus])*60</f>
        <v>0.22470567003244424</v>
      </c>
      <c r="L7" s="101">
        <f>RANK(CMSRegion1017[[#This Row],[Total MedDir MPRD]],CMSRegion1017[Total MedDir MPRD])</f>
        <v>8</v>
      </c>
      <c r="M7" s="102">
        <f>SUMIF([2]!NonNurse[CMS Region Number], CMSRegion1017[[#This Row],[CMS Region Number]], [2]!NonNurse[Hrs_Pharmacist])/SUMIF([2]!NonNurse[CMS Region Number], CMSRegion1017[[#This Row],[CMS Region Number]], [2]!NonNurse[MDScensus])*60</f>
        <v>0.23892835327762571</v>
      </c>
      <c r="N7" s="101">
        <f>RANK(CMSRegion1017[[#This Row],[Total Pharmacist MPRD]],CMSRegion1017[Total Pharmacist MPRD])</f>
        <v>8</v>
      </c>
      <c r="O7" s="102">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5.0208674418992763</v>
      </c>
      <c r="P7" s="101">
        <f>RANK(CMSRegion1017[[#This Row],[Total Social Work MPRD]],CMSRegion1017[Total Social Work MPRD])</f>
        <v>7</v>
      </c>
      <c r="Q7" s="102">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18.207323829647429</v>
      </c>
      <c r="R7" s="101">
        <f>RANK(CMSRegion1017[[#This Row],[Total OT MPRD]],CMSRegion1017[Total OT MPRD])</f>
        <v>3</v>
      </c>
      <c r="S7" s="102">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14.428157844287796</v>
      </c>
      <c r="T7" s="101">
        <f>RANK(CMSRegion1017[[#This Row],[Total PT MPRD]],CMSRegion1017[Total PT MPRD])</f>
        <v>7</v>
      </c>
      <c r="U7" s="102">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7.8092809762300934</v>
      </c>
      <c r="V7" s="101">
        <f>RANK(CMSRegion1017[[#This Row],[Total Activities MPRD]], CMSRegion1017[Total Activities MPRD])</f>
        <v>4</v>
      </c>
      <c r="W7" s="16"/>
      <c r="X7" s="108" t="s">
        <v>34</v>
      </c>
      <c r="Y7" s="101">
        <f>SUMIF([2]!NonNurse[STATE], State112010[[#This Row],[State]], [2]!NonNurse[MDScensus])</f>
        <v>101160.75555555553</v>
      </c>
      <c r="Z7" s="101">
        <f>COUNTIF([2]!NonNurse[STATE], State112010[[#This Row],[State]])</f>
        <v>1142</v>
      </c>
      <c r="AA7" s="102">
        <f>SUMIF([2]!NonNurse[STATE], State112010[[#This Row],[State]], [2]!NonNurse[Hrs_Admin])/SUMIF([2]!NonNurse[STATE], State112010[[#This Row],[State]], [2]!NonNurse[MDScensus])*60</f>
        <v>3.3204481140468629</v>
      </c>
      <c r="AB7" s="101">
        <f>RANK(State112010[[#This Row],[Total Admin MPRD]],State112010[Total Admin MPRD])</f>
        <v>42</v>
      </c>
      <c r="AC7" s="102">
        <f>SUMIF([2]!NonNurse[STATE], State112010[[#This Row],[State]], [2]!NonNurse[Hrs_MedDir])/SUMIF([2]!NonNurse[STATE], State112010[[#This Row],[State]], [2]!NonNurse[MDScensus])*60</f>
        <v>0.260652989279549</v>
      </c>
      <c r="AD7" s="101">
        <f>RANK(State112010[[#This Row],[Total MedDir MPRD]],State112010[Total MedDir MPRD])</f>
        <v>27</v>
      </c>
      <c r="AE7" s="102">
        <f>SUMIF([2]!NonNurse[STATE], State112010[[#This Row],[State]], [2]!NonNurse[Hrs_Pharmacist])/SUMIF([2]!NonNurse[STATE], State112010[[#This Row],[State]], [2]!NonNurse[MDScensus])*60</f>
        <v>0.26160737782811683</v>
      </c>
      <c r="AF7" s="101">
        <f>RANK(State112010[[#This Row],[Total Pharmacist MPRD]],State112010[Total Pharmacist MPRD])</f>
        <v>30</v>
      </c>
      <c r="AG7" s="102">
        <f>(SUMIF([2]!NonNurse[STATE], State112010[[#This Row],[State]], [2]!NonNurse[Hrs_SpcLangPath]) + SUMIF([2]!NonNurse[STATE], State112010[[#This Row],[State]], [2]!NonNurse[Hrs_QualSocWrk])) / SUMIF([2]!NonNurse[STATE], State112010[[#This Row],[State]], [2]!NonNurse[MDScensus]) * 60</f>
        <v>4.0058225258191928</v>
      </c>
      <c r="AH7" s="101">
        <f>RANK(State112010[[#This Row],[Total Social Work MPRD]],State112010[Total Social Work MPRD])</f>
        <v>49</v>
      </c>
      <c r="AI7"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18.880509532390068</v>
      </c>
      <c r="AJ7" s="101">
        <f>RANK(State112010[[#This Row],[Total OT MPRD]],State112010[Total OT MPRD])</f>
        <v>15</v>
      </c>
      <c r="AK7"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19.546648778158932</v>
      </c>
      <c r="AL7" s="101">
        <f>RANK(State112010[[#This Row],[Total PT MPRD]],State112010[Total PT MPRD])</f>
        <v>8</v>
      </c>
      <c r="AM7" s="102">
        <f>(SUMIF([2]!NonNurse[STATE], State112010[[#This Row],[State]], [2]!NonNurse[MPRD: Total Social Work]) + SUMIF([2]!NonNurse[STATE], State112010[[#This Row],[State]], [2]!NonNurse[Hrs_QualActvProf])) / SUMIF([2]!NonNurse[STATE], State112010[[#This Row],[State]], [2]!NonNurse[MDScensus]) * 60</f>
        <v>7.6131483929942387</v>
      </c>
      <c r="AN7" s="109">
        <f>RANK(State112010[[#This Row],[Total Activities MPRD]], State112010[Total Activities MPRD])</f>
        <v>23</v>
      </c>
      <c r="AO7" s="17"/>
      <c r="AP7" s="77" t="s">
        <v>124</v>
      </c>
      <c r="AQ7" s="78">
        <f>SUM([2]!NonNurse[Hrs_PA])</f>
        <v>628.38688888888885</v>
      </c>
      <c r="AR7" s="79">
        <f>[2]!Category122114[[#This Row],[US Total Hours]]/SUM([2]!NonNurse[MDScensus])*60</f>
        <v>3.0129830120244117E-2</v>
      </c>
      <c r="AS7" s="85">
        <f>COUNTIF([2]!NonNurse[Hrs_PA], 0)</f>
        <v>14206</v>
      </c>
      <c r="AT7" s="20"/>
    </row>
    <row r="8" spans="2:46" ht="15" customHeight="1" x14ac:dyDescent="0.2">
      <c r="B8" s="25" t="s">
        <v>125</v>
      </c>
      <c r="C8" s="19">
        <v>15.165496117418083</v>
      </c>
      <c r="D8" s="24">
        <v>0</v>
      </c>
      <c r="F8" s="1">
        <v>6</v>
      </c>
      <c r="G8" s="16">
        <f>SUMIF([2]!NonNurse[CMS Region Number], CMSRegion1017[[#This Row],[CMS Region Number]], [2]!NonNurse[MDScensus])</f>
        <v>150988.00000000026</v>
      </c>
      <c r="H8" s="16">
        <f>COUNTIF([2]!NonNurse[CMS Region Number], CMSRegion1017[[#This Row],[CMS Region Number]])</f>
        <v>1975</v>
      </c>
      <c r="I8" s="17">
        <f>SUMIF([2]!NonNurse[CMS Region Number], CMSRegion1017[[#This Row],[CMS Region Number]], [2]!NonNurse[Hrs_Admin])/SUMIF([2]!NonNurse[CMS Region Number], CMSRegion1017[[#This Row],[CMS Region Number]], [2]!NonNurse[MDScensus])*60</f>
        <v>4.3422961206630566</v>
      </c>
      <c r="J8" s="16">
        <f>RANK(CMSRegion1017[[#This Row],[Total Admin MPRD]],CMSRegion1017[Total Admin MPRD])</f>
        <v>4</v>
      </c>
      <c r="K8" s="17">
        <f>SUMIF([2]!NonNurse[CMS Region Number], CMSRegion1017[[#This Row],[CMS Region Number]], [2]!NonNurse[Hrs_MedDir])/SUMIF([2]!NonNurse[CMS Region Number], CMSRegion1017[[#This Row],[CMS Region Number]], [2]!NonNurse[MDScensus])*60</f>
        <v>0.24727333739546672</v>
      </c>
      <c r="L8" s="16">
        <f>RANK(CMSRegion1017[[#This Row],[Total MedDir MPRD]],CMSRegion1017[Total MedDir MPRD])</f>
        <v>6</v>
      </c>
      <c r="M8" s="17">
        <f>SUMIF([2]!NonNurse[CMS Region Number], CMSRegion1017[[#This Row],[CMS Region Number]], [2]!NonNurse[Hrs_Pharmacist])/SUMIF([2]!NonNurse[CMS Region Number], CMSRegion1017[[#This Row],[CMS Region Number]], [2]!NonNurse[MDScensus])*60</f>
        <v>0.21841453183917461</v>
      </c>
      <c r="N8" s="16">
        <f>RANK(CMSRegion1017[[#This Row],[Total Pharmacist MPRD]],CMSRegion1017[Total Pharmacist MPRD])</f>
        <v>10</v>
      </c>
      <c r="O8" s="17">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5.9211417684407577</v>
      </c>
      <c r="P8" s="16">
        <f>RANK(CMSRegion1017[[#This Row],[Total Social Work MPRD]],CMSRegion1017[Total Social Work MPRD])</f>
        <v>5</v>
      </c>
      <c r="Q8" s="17">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13.18982409852503</v>
      </c>
      <c r="R8" s="16">
        <f>RANK(CMSRegion1017[[#This Row],[Total OT MPRD]],CMSRegion1017[Total OT MPRD])</f>
        <v>10</v>
      </c>
      <c r="S8" s="17">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15.898004252138755</v>
      </c>
      <c r="T8" s="16">
        <f>RANK(CMSRegion1017[[#This Row],[Total PT MPRD]],CMSRegion1017[Total PT MPRD])</f>
        <v>3</v>
      </c>
      <c r="U8" s="17">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6.2144654505988646</v>
      </c>
      <c r="V8" s="16">
        <f>RANK(CMSRegion1017[[#This Row],[Total Activities MPRD]], CMSRegion1017[Total Activities MPRD])</f>
        <v>8</v>
      </c>
      <c r="W8" s="16"/>
      <c r="X8" s="23" t="s">
        <v>38</v>
      </c>
      <c r="Y8" s="16">
        <f>SUMIF([2]!NonNurse[STATE], State112010[[#This Row],[State]], [2]!NonNurse[MDScensus])</f>
        <v>15668.13333333333</v>
      </c>
      <c r="Z8" s="16">
        <f>COUNTIF([2]!NonNurse[STATE], State112010[[#This Row],[State]])</f>
        <v>208</v>
      </c>
      <c r="AA8" s="17">
        <f>SUMIF([2]!NonNurse[STATE], State112010[[#This Row],[State]], [2]!NonNurse[Hrs_Admin])/SUMIF([2]!NonNurse[STATE], State112010[[#This Row],[State]], [2]!NonNurse[MDScensus])*60</f>
        <v>4.2570095565521502</v>
      </c>
      <c r="AB8" s="16">
        <f>RANK(State112010[[#This Row],[Total Admin MPRD]],State112010[Total Admin MPRD])</f>
        <v>23</v>
      </c>
      <c r="AC8" s="17">
        <f>SUMIF([2]!NonNurse[STATE], State112010[[#This Row],[State]], [2]!NonNurse[Hrs_MedDir])/SUMIF([2]!NonNurse[STATE], State112010[[#This Row],[State]], [2]!NonNurse[MDScensus])*60</f>
        <v>0.15549735769417336</v>
      </c>
      <c r="AD8" s="16">
        <f>RANK(State112010[[#This Row],[Total MedDir MPRD]],State112010[Total MedDir MPRD])</f>
        <v>50</v>
      </c>
      <c r="AE8" s="17">
        <f>SUMIF([2]!NonNurse[STATE], State112010[[#This Row],[State]], [2]!NonNurse[Hrs_Pharmacist])/SUMIF([2]!NonNurse[STATE], State112010[[#This Row],[State]], [2]!NonNurse[MDScensus])*60</f>
        <v>0.31742560270953357</v>
      </c>
      <c r="AF8" s="16">
        <f>RANK(State112010[[#This Row],[Total Pharmacist MPRD]],State112010[Total Pharmacist MPRD])</f>
        <v>17</v>
      </c>
      <c r="AG8" s="17">
        <f>(SUMIF([2]!NonNurse[STATE], State112010[[#This Row],[State]], [2]!NonNurse[Hrs_SpcLangPath]) + SUMIF([2]!NonNurse[STATE], State112010[[#This Row],[State]], [2]!NonNurse[Hrs_QualSocWrk])) / SUMIF([2]!NonNurse[STATE], State112010[[#This Row],[State]], [2]!NonNurse[MDScensus]) * 60</f>
        <v>4.7716579724451353</v>
      </c>
      <c r="AH8" s="16">
        <f>RANK(State112010[[#This Row],[Total Social Work MPRD]],State112010[Total Social Work MPRD])</f>
        <v>41</v>
      </c>
      <c r="AI8"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16.073826675536701</v>
      </c>
      <c r="AJ8" s="16">
        <f>RANK(State112010[[#This Row],[Total OT MPRD]],State112010[Total OT MPRD])</f>
        <v>28</v>
      </c>
      <c r="AK8"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16.257751910836941</v>
      </c>
      <c r="AL8" s="16">
        <f>RANK(State112010[[#This Row],[Total PT MPRD]],State112010[Total PT MPRD])</f>
        <v>17</v>
      </c>
      <c r="AM8" s="17">
        <f>(SUMIF([2]!NonNurse[STATE], State112010[[#This Row],[State]], [2]!NonNurse[MPRD: Total Social Work]) + SUMIF([2]!NonNurse[STATE], State112010[[#This Row],[State]], [2]!NonNurse[Hrs_QualActvProf])) / SUMIF([2]!NonNurse[STATE], State112010[[#This Row],[State]], [2]!NonNurse[MDScensus]) * 60</f>
        <v>9.5015774114907057</v>
      </c>
      <c r="AN8" s="36">
        <f>RANK(State112010[[#This Row],[Total Activities MPRD]], State112010[Total Activities MPRD])</f>
        <v>17</v>
      </c>
      <c r="AO8" s="20"/>
      <c r="AP8" s="81" t="s">
        <v>126</v>
      </c>
      <c r="AQ8" s="82">
        <f>SUM([2]!NonNurse[Hrs_NP])</f>
        <v>4134.2352222222216</v>
      </c>
      <c r="AR8" s="83">
        <f>[2]!Category122114[[#This Row],[US Total Hours]]/SUM([2]!NonNurse[MDScensus])*60</f>
        <v>0.19822788655399609</v>
      </c>
      <c r="AS8" s="84">
        <f>COUNTIF([2]!NonNurse[Hrs_NP], 0)</f>
        <v>13069</v>
      </c>
    </row>
    <row r="9" spans="2:46" ht="15" customHeight="1" x14ac:dyDescent="0.2">
      <c r="B9" s="27" t="s">
        <v>127</v>
      </c>
      <c r="C9" s="22">
        <v>7.0417914409305622</v>
      </c>
      <c r="D9" s="26">
        <v>6.7555555555555564</v>
      </c>
      <c r="F9" s="100">
        <v>7</v>
      </c>
      <c r="G9" s="101">
        <f>SUMIF([2]!NonNurse[CMS Region Number], CMSRegion1017[[#This Row],[CMS Region Number]], [2]!NonNurse[MDScensus])</f>
        <v>79810.344444444505</v>
      </c>
      <c r="H9" s="101">
        <f>COUNTIF([2]!NonNurse[CMS Region Number], CMSRegion1017[[#This Row],[CMS Region Number]])</f>
        <v>1330</v>
      </c>
      <c r="I9" s="102">
        <f>SUMIF([2]!NonNurse[CMS Region Number], CMSRegion1017[[#This Row],[CMS Region Number]], [2]!NonNurse[Hrs_Admin])/SUMIF([2]!NonNurse[CMS Region Number], CMSRegion1017[[#This Row],[CMS Region Number]], [2]!NonNurse[MDScensus])*60</f>
        <v>5.3924573687259363</v>
      </c>
      <c r="J9" s="101">
        <f>RANK(CMSRegion1017[[#This Row],[Total Admin MPRD]],CMSRegion1017[Total Admin MPRD])</f>
        <v>1</v>
      </c>
      <c r="K9" s="102">
        <f>SUMIF([2]!NonNurse[CMS Region Number], CMSRegion1017[[#This Row],[CMS Region Number]], [2]!NonNurse[Hrs_MedDir])/SUMIF([2]!NonNurse[CMS Region Number], CMSRegion1017[[#This Row],[CMS Region Number]], [2]!NonNurse[MDScensus])*60</f>
        <v>0.21194587557641939</v>
      </c>
      <c r="L9" s="101">
        <f>RANK(CMSRegion1017[[#This Row],[Total MedDir MPRD]],CMSRegion1017[Total MedDir MPRD])</f>
        <v>10</v>
      </c>
      <c r="M9" s="102">
        <f>SUMIF([2]!NonNurse[CMS Region Number], CMSRegion1017[[#This Row],[CMS Region Number]], [2]!NonNurse[Hrs_Pharmacist])/SUMIF([2]!NonNurse[CMS Region Number], CMSRegion1017[[#This Row],[CMS Region Number]], [2]!NonNurse[MDScensus])*60</f>
        <v>0.27909615169629193</v>
      </c>
      <c r="N9" s="101">
        <f>RANK(CMSRegion1017[[#This Row],[Total Pharmacist MPRD]],CMSRegion1017[Total Pharmacist MPRD])</f>
        <v>4</v>
      </c>
      <c r="O9" s="102">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4.5453022728465573</v>
      </c>
      <c r="P9" s="101">
        <f>RANK(CMSRegion1017[[#This Row],[Total Social Work MPRD]],CMSRegion1017[Total Social Work MPRD])</f>
        <v>9</v>
      </c>
      <c r="Q9" s="102">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15.006180804148556</v>
      </c>
      <c r="R9" s="101">
        <f>RANK(CMSRegion1017[[#This Row],[Total OT MPRD]],CMSRegion1017[Total OT MPRD])</f>
        <v>7</v>
      </c>
      <c r="S9" s="102">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12.10455242749472</v>
      </c>
      <c r="T9" s="101">
        <f>RANK(CMSRegion1017[[#This Row],[Total PT MPRD]],CMSRegion1017[Total PT MPRD])</f>
        <v>10</v>
      </c>
      <c r="U9" s="102">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9.6330498196512409</v>
      </c>
      <c r="V9" s="101">
        <f>RANK(CMSRegion1017[[#This Row],[Total Activities MPRD]], CMSRegion1017[Total Activities MPRD])</f>
        <v>3</v>
      </c>
      <c r="W9" s="16"/>
      <c r="X9" s="108" t="s">
        <v>41</v>
      </c>
      <c r="Y9" s="101">
        <f>SUMIF([2]!NonNurse[STATE], State112010[[#This Row],[State]], [2]!NonNurse[MDScensus])</f>
        <v>19698.377777777772</v>
      </c>
      <c r="Z9" s="101">
        <f>COUNTIF([2]!NonNurse[STATE], State112010[[#This Row],[State]])</f>
        <v>190</v>
      </c>
      <c r="AA9" s="102">
        <f>SUMIF([2]!NonNurse[STATE], State112010[[#This Row],[State]], [2]!NonNurse[Hrs_Admin])/SUMIF([2]!NonNurse[STATE], State112010[[#This Row],[State]], [2]!NonNurse[MDScensus])*60</f>
        <v>2.9257654606639916</v>
      </c>
      <c r="AB9" s="101">
        <f>RANK(State112010[[#This Row],[Total Admin MPRD]],State112010[Total Admin MPRD])</f>
        <v>48</v>
      </c>
      <c r="AC9" s="102">
        <f>SUMIF([2]!NonNurse[STATE], State112010[[#This Row],[State]], [2]!NonNurse[Hrs_MedDir])/SUMIF([2]!NonNurse[STATE], State112010[[#This Row],[State]], [2]!NonNurse[MDScensus])*60</f>
        <v>0.27406148504050526</v>
      </c>
      <c r="AD9" s="101">
        <f>RANK(State112010[[#This Row],[Total MedDir MPRD]],State112010[Total MedDir MPRD])</f>
        <v>25</v>
      </c>
      <c r="AE9" s="102">
        <f>SUMIF([2]!NonNurse[STATE], State112010[[#This Row],[State]], [2]!NonNurse[Hrs_Pharmacist])/SUMIF([2]!NonNurse[STATE], State112010[[#This Row],[State]], [2]!NonNurse[MDScensus])*60</f>
        <v>0.22514442813677843</v>
      </c>
      <c r="AF9" s="101">
        <f>RANK(State112010[[#This Row],[Total Pharmacist MPRD]],State112010[Total Pharmacist MPRD])</f>
        <v>36</v>
      </c>
      <c r="AG9" s="102">
        <f>(SUMIF([2]!NonNurse[STATE], State112010[[#This Row],[State]], [2]!NonNurse[Hrs_SpcLangPath]) + SUMIF([2]!NonNurse[STATE], State112010[[#This Row],[State]], [2]!NonNurse[Hrs_QualSocWrk])) / SUMIF([2]!NonNurse[STATE], State112010[[#This Row],[State]], [2]!NonNurse[MDScensus]) * 60</f>
        <v>6.0641257542922347</v>
      </c>
      <c r="AH9" s="101">
        <f>RANK(State112010[[#This Row],[Total Social Work MPRD]],State112010[Total Social Work MPRD])</f>
        <v>18</v>
      </c>
      <c r="AI9"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12.19507031295978</v>
      </c>
      <c r="AJ9" s="101">
        <f>RANK(State112010[[#This Row],[Total OT MPRD]],State112010[Total OT MPRD])</f>
        <v>44</v>
      </c>
      <c r="AK9"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13.134012054672898</v>
      </c>
      <c r="AL9" s="101">
        <f>RANK(State112010[[#This Row],[Total PT MPRD]],State112010[Total PT MPRD])</f>
        <v>36</v>
      </c>
      <c r="AM9" s="102">
        <f>(SUMIF([2]!NonNurse[STATE], State112010[[#This Row],[State]], [2]!NonNurse[MPRD: Total Social Work]) + SUMIF([2]!NonNurse[STATE], State112010[[#This Row],[State]], [2]!NonNurse[Hrs_QualActvProf])) / SUMIF([2]!NonNurse[STATE], State112010[[#This Row],[State]], [2]!NonNurse[MDScensus]) * 60</f>
        <v>5.7352802518292325</v>
      </c>
      <c r="AN9" s="109">
        <f>RANK(State112010[[#This Row],[Total Activities MPRD]], State112010[Total Activities MPRD])</f>
        <v>43</v>
      </c>
      <c r="AO9" s="20"/>
      <c r="AP9" s="77" t="s">
        <v>128</v>
      </c>
      <c r="AQ9" s="78">
        <f>SUM([2]!NonNurse[Hrs_SpcLangPath])</f>
        <v>51632.874999999847</v>
      </c>
      <c r="AR9" s="79">
        <f>[2]!Category122114[[#This Row],[US Total Hours]]/SUM([2]!NonNurse[MDScensus])*60</f>
        <v>2.4756877966065765</v>
      </c>
      <c r="AS9" s="85">
        <f>COUNTIF([2]!NonNurse[Hrs_SpcLangPath], 0)</f>
        <v>1186</v>
      </c>
    </row>
    <row r="10" spans="2:46" ht="15" customHeight="1" x14ac:dyDescent="0.2">
      <c r="B10" s="30" t="s">
        <v>51</v>
      </c>
      <c r="C10" s="28"/>
      <c r="D10" s="29"/>
      <c r="F10" s="1">
        <v>8</v>
      </c>
      <c r="G10" s="16">
        <f>SUMIF([2]!NonNurse[CMS Region Number], CMSRegion1017[[#This Row],[CMS Region Number]], [2]!NonNurse[MDScensus])</f>
        <v>36269.30000000001</v>
      </c>
      <c r="H10" s="16">
        <f>COUNTIF([2]!NonNurse[CMS Region Number], CMSRegion1017[[#This Row],[CMS Region Number]])</f>
        <v>562</v>
      </c>
      <c r="I10" s="17">
        <f>SUMIF([2]!NonNurse[CMS Region Number], CMSRegion1017[[#This Row],[CMS Region Number]], [2]!NonNurse[Hrs_Admin])/SUMIF([2]!NonNurse[CMS Region Number], CMSRegion1017[[#This Row],[CMS Region Number]], [2]!NonNurse[MDScensus])*60</f>
        <v>4.7491152756371475</v>
      </c>
      <c r="J10" s="16">
        <f>RANK(CMSRegion1017[[#This Row],[Total Admin MPRD]],CMSRegion1017[Total Admin MPRD])</f>
        <v>3</v>
      </c>
      <c r="K10" s="17">
        <f>SUMIF([2]!NonNurse[CMS Region Number], CMSRegion1017[[#This Row],[CMS Region Number]], [2]!NonNurse[Hrs_MedDir])/SUMIF([2]!NonNurse[CMS Region Number], CMSRegion1017[[#This Row],[CMS Region Number]], [2]!NonNurse[MDScensus])*60</f>
        <v>0.21964342662619166</v>
      </c>
      <c r="L10" s="16">
        <f>RANK(CMSRegion1017[[#This Row],[Total MedDir MPRD]],CMSRegion1017[Total MedDir MPRD])</f>
        <v>9</v>
      </c>
      <c r="M10" s="17">
        <f>SUMIF([2]!NonNurse[CMS Region Number], CMSRegion1017[[#This Row],[CMS Region Number]], [2]!NonNurse[Hrs_Pharmacist])/SUMIF([2]!NonNurse[CMS Region Number], CMSRegion1017[[#This Row],[CMS Region Number]], [2]!NonNurse[MDScensus])*60</f>
        <v>0.56392008300867857</v>
      </c>
      <c r="N10" s="16">
        <f>RANK(CMSRegion1017[[#This Row],[Total Pharmacist MPRD]],CMSRegion1017[Total Pharmacist MPRD])</f>
        <v>1</v>
      </c>
      <c r="O10" s="17">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4.853337855063832</v>
      </c>
      <c r="P10" s="16">
        <f>RANK(CMSRegion1017[[#This Row],[Total Social Work MPRD]],CMSRegion1017[Total Social Work MPRD])</f>
        <v>8</v>
      </c>
      <c r="Q10" s="17">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18.518021517732738</v>
      </c>
      <c r="R10" s="16">
        <f>RANK(CMSRegion1017[[#This Row],[Total OT MPRD]],CMSRegion1017[Total OT MPRD])</f>
        <v>2</v>
      </c>
      <c r="S10" s="17">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15.442384830372946</v>
      </c>
      <c r="T10" s="16">
        <f>RANK(CMSRegion1017[[#This Row],[Total PT MPRD]],CMSRegion1017[Total PT MPRD])</f>
        <v>5</v>
      </c>
      <c r="U10" s="17">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10.47695544009007</v>
      </c>
      <c r="V10" s="16">
        <f>RANK(CMSRegion1017[[#This Row],[Total Activities MPRD]], CMSRegion1017[Total Activities MPRD])</f>
        <v>2</v>
      </c>
      <c r="W10" s="16"/>
      <c r="X10" s="23" t="s">
        <v>44</v>
      </c>
      <c r="Y10" s="16">
        <f>SUMIF([2]!NonNurse[STATE], State112010[[#This Row],[State]], [2]!NonNurse[MDScensus])</f>
        <v>2030.4777777777781</v>
      </c>
      <c r="Z10" s="16">
        <f>COUNTIF([2]!NonNurse[STATE], State112010[[#This Row],[State]])</f>
        <v>16</v>
      </c>
      <c r="AA10" s="17">
        <f>SUMIF([2]!NonNurse[STATE], State112010[[#This Row],[State]], [2]!NonNurse[Hrs_Admin])/SUMIF([2]!NonNurse[STATE], State112010[[#This Row],[State]], [2]!NonNurse[MDScensus])*60</f>
        <v>1.9694872033402098</v>
      </c>
      <c r="AB10" s="16">
        <f>RANK(State112010[[#This Row],[Total Admin MPRD]],State112010[Total Admin MPRD])</f>
        <v>52</v>
      </c>
      <c r="AC10" s="17">
        <f>SUMIF([2]!NonNurse[STATE], State112010[[#This Row],[State]], [2]!NonNurse[Hrs_MedDir])/SUMIF([2]!NonNurse[STATE], State112010[[#This Row],[State]], [2]!NonNurse[MDScensus])*60</f>
        <v>0.21571277695999294</v>
      </c>
      <c r="AD10" s="16">
        <f>RANK(State112010[[#This Row],[Total MedDir MPRD]],State112010[Total MedDir MPRD])</f>
        <v>39</v>
      </c>
      <c r="AE10" s="17">
        <f>SUMIF([2]!NonNurse[STATE], State112010[[#This Row],[State]], [2]!NonNurse[Hrs_Pharmacist])/SUMIF([2]!NonNurse[STATE], State112010[[#This Row],[State]], [2]!NonNurse[MDScensus])*60</f>
        <v>2.7087220851140664E-2</v>
      </c>
      <c r="AF10" s="16">
        <f>RANK(State112010[[#This Row],[Total Pharmacist MPRD]],State112010[Total Pharmacist MPRD])</f>
        <v>52</v>
      </c>
      <c r="AG10" s="17">
        <f>(SUMIF([2]!NonNurse[STATE], State112010[[#This Row],[State]], [2]!NonNurse[Hrs_SpcLangPath]) + SUMIF([2]!NonNurse[STATE], State112010[[#This Row],[State]], [2]!NonNurse[Hrs_QualSocWrk])) / SUMIF([2]!NonNurse[STATE], State112010[[#This Row],[State]], [2]!NonNurse[MDScensus]) * 60</f>
        <v>4.9884351247380181</v>
      </c>
      <c r="AH10" s="16">
        <f>RANK(State112010[[#This Row],[Total Social Work MPRD]],State112010[Total Social Work MPRD])</f>
        <v>38</v>
      </c>
      <c r="AI10"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12.851089710010099</v>
      </c>
      <c r="AJ10" s="16">
        <f>RANK(State112010[[#This Row],[Total OT MPRD]],State112010[Total OT MPRD])</f>
        <v>43</v>
      </c>
      <c r="AK10"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10.508569526116792</v>
      </c>
      <c r="AL10" s="16">
        <f>RANK(State112010[[#This Row],[Total PT MPRD]],State112010[Total PT MPRD])</f>
        <v>46</v>
      </c>
      <c r="AM10" s="17">
        <f>(SUMIF([2]!NonNurse[STATE], State112010[[#This Row],[State]], [2]!NonNurse[MPRD: Total Social Work]) + SUMIF([2]!NonNurse[STATE], State112010[[#This Row],[State]], [2]!NonNurse[Hrs_QualActvProf])) / SUMIF([2]!NonNurse[STATE], State112010[[#This Row],[State]], [2]!NonNurse[MDScensus]) * 60</f>
        <v>4.7388379316661124</v>
      </c>
      <c r="AN10" s="36">
        <f>RANK(State112010[[#This Row],[Total Activities MPRD]], State112010[Total Activities MPRD])</f>
        <v>51</v>
      </c>
      <c r="AO10" s="20"/>
      <c r="AP10" s="86" t="s">
        <v>119</v>
      </c>
      <c r="AQ10" s="87">
        <f>SUM([2]!NonNurse[Hrs_QualSocWrk],[2]!NonNurse[Hrs_OthSocWrk])</f>
        <v>111283.87844444408</v>
      </c>
      <c r="AR10" s="88">
        <f>[2]!Category122114[[#This Row],[US Total Hours]]/SUM([2]!NonNurse[MDScensus])*60</f>
        <v>5.3358279937725852</v>
      </c>
      <c r="AS10" s="89">
        <f>COUNTIF([2]!NonNurse[MPRD: Total Social Work], 0)</f>
        <v>1351</v>
      </c>
    </row>
    <row r="11" spans="2:46" ht="15" customHeight="1" x14ac:dyDescent="0.2">
      <c r="B11" s="30" t="s">
        <v>3</v>
      </c>
      <c r="C11" s="31">
        <v>14487</v>
      </c>
      <c r="D11" s="31"/>
      <c r="F11" s="100">
        <v>9</v>
      </c>
      <c r="G11" s="101">
        <f>SUMIF([2]!NonNurse[CMS Region Number], CMSRegion1017[[#This Row],[CMS Region Number]], [2]!NonNurse[MDScensus])</f>
        <v>123033.3333333333</v>
      </c>
      <c r="H11" s="101">
        <f>COUNTIF([2]!NonNurse[CMS Region Number], CMSRegion1017[[#This Row],[CMS Region Number]])</f>
        <v>1387</v>
      </c>
      <c r="I11" s="102">
        <f>SUMIF([2]!NonNurse[CMS Region Number], CMSRegion1017[[#This Row],[CMS Region Number]], [2]!NonNurse[Hrs_Admin])/SUMIF([2]!NonNurse[CMS Region Number], CMSRegion1017[[#This Row],[CMS Region Number]], [2]!NonNurse[MDScensus])*60</f>
        <v>3.3347962611758426</v>
      </c>
      <c r="J11" s="101">
        <f>RANK(CMSRegion1017[[#This Row],[Total Admin MPRD]],CMSRegion1017[Total Admin MPRD])</f>
        <v>8</v>
      </c>
      <c r="K11" s="102">
        <f>SUMIF([2]!NonNurse[CMS Region Number], CMSRegion1017[[#This Row],[CMS Region Number]], [2]!NonNurse[Hrs_MedDir])/SUMIF([2]!NonNurse[CMS Region Number], CMSRegion1017[[#This Row],[CMS Region Number]], [2]!NonNurse[MDScensus])*60</f>
        <v>0.26537030615009455</v>
      </c>
      <c r="L11" s="101">
        <f>RANK(CMSRegion1017[[#This Row],[Total MedDir MPRD]],CMSRegion1017[Total MedDir MPRD])</f>
        <v>4</v>
      </c>
      <c r="M11" s="102">
        <f>SUMIF([2]!NonNurse[CMS Region Number], CMSRegion1017[[#This Row],[CMS Region Number]], [2]!NonNurse[Hrs_Pharmacist])/SUMIF([2]!NonNurse[CMS Region Number], CMSRegion1017[[#This Row],[CMS Region Number]], [2]!NonNurse[MDScensus])*60</f>
        <v>0.25048344622053659</v>
      </c>
      <c r="N11" s="101">
        <f>RANK(CMSRegion1017[[#This Row],[Total Pharmacist MPRD]],CMSRegion1017[Total Pharmacist MPRD])</f>
        <v>5</v>
      </c>
      <c r="O11" s="102">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4.1327075589271223</v>
      </c>
      <c r="P11" s="101">
        <f>RANK(CMSRegion1017[[#This Row],[Total Social Work MPRD]],CMSRegion1017[Total Social Work MPRD])</f>
        <v>10</v>
      </c>
      <c r="Q11" s="102">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18.708885764069986</v>
      </c>
      <c r="R11" s="101">
        <f>RANK(CMSRegion1017[[#This Row],[Total OT MPRD]],CMSRegion1017[Total OT MPRD])</f>
        <v>1</v>
      </c>
      <c r="S11" s="102">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19.542732752225948</v>
      </c>
      <c r="T11" s="101">
        <f>RANK(CMSRegion1017[[#This Row],[Total PT MPRD]],CMSRegion1017[Total PT MPRD])</f>
        <v>1</v>
      </c>
      <c r="U11" s="102">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7.6980158208243674</v>
      </c>
      <c r="V11" s="101">
        <f>RANK(CMSRegion1017[[#This Row],[Total Activities MPRD]], CMSRegion1017[Total Activities MPRD])</f>
        <v>5</v>
      </c>
      <c r="W11" s="16"/>
      <c r="X11" s="108" t="s">
        <v>47</v>
      </c>
      <c r="Y11" s="101">
        <f>SUMIF([2]!NonNurse[STATE], State112010[[#This Row],[State]], [2]!NonNurse[MDScensus])</f>
        <v>3847.2333333333331</v>
      </c>
      <c r="Z11" s="101">
        <f>COUNTIF([2]!NonNurse[STATE], State112010[[#This Row],[State]])</f>
        <v>42</v>
      </c>
      <c r="AA11" s="102">
        <f>SUMIF([2]!NonNurse[STATE], State112010[[#This Row],[State]], [2]!NonNurse[Hrs_Admin])/SUMIF([2]!NonNurse[STATE], State112010[[#This Row],[State]], [2]!NonNurse[MDScensus])*60</f>
        <v>3.1909094847379498</v>
      </c>
      <c r="AB11" s="101">
        <f>RANK(State112010[[#This Row],[Total Admin MPRD]],State112010[Total Admin MPRD])</f>
        <v>44</v>
      </c>
      <c r="AC11" s="102">
        <f>SUMIF([2]!NonNurse[STATE], State112010[[#This Row],[State]], [2]!NonNurse[Hrs_MedDir])/SUMIF([2]!NonNurse[STATE], State112010[[#This Row],[State]], [2]!NonNurse[MDScensus])*60</f>
        <v>0.1589107323877765</v>
      </c>
      <c r="AD11" s="101">
        <f>RANK(State112010[[#This Row],[Total MedDir MPRD]],State112010[Total MedDir MPRD])</f>
        <v>48</v>
      </c>
      <c r="AE11" s="102">
        <f>SUMIF([2]!NonNurse[STATE], State112010[[#This Row],[State]], [2]!NonNurse[Hrs_Pharmacist])/SUMIF([2]!NonNurse[STATE], State112010[[#This Row],[State]], [2]!NonNurse[MDScensus])*60</f>
        <v>0.1266572515314035</v>
      </c>
      <c r="AF11" s="101">
        <f>RANK(State112010[[#This Row],[Total Pharmacist MPRD]],State112010[Total Pharmacist MPRD])</f>
        <v>49</v>
      </c>
      <c r="AG11" s="102">
        <f>(SUMIF([2]!NonNurse[STATE], State112010[[#This Row],[State]], [2]!NonNurse[Hrs_SpcLangPath]) + SUMIF([2]!NonNurse[STATE], State112010[[#This Row],[State]], [2]!NonNurse[Hrs_QualSocWrk])) / SUMIF([2]!NonNurse[STATE], State112010[[#This Row],[State]], [2]!NonNurse[MDScensus]) * 60</f>
        <v>5.681851027145048</v>
      </c>
      <c r="AH11" s="101">
        <f>RANK(State112010[[#This Row],[Total Social Work MPRD]],State112010[Total Social Work MPRD])</f>
        <v>25</v>
      </c>
      <c r="AI11"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18.357408923169</v>
      </c>
      <c r="AJ11" s="101">
        <f>RANK(State112010[[#This Row],[Total OT MPRD]],State112010[Total OT MPRD])</f>
        <v>17</v>
      </c>
      <c r="AK11"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20.304126064017137</v>
      </c>
      <c r="AL11" s="101">
        <f>RANK(State112010[[#This Row],[Total PT MPRD]],State112010[Total PT MPRD])</f>
        <v>5</v>
      </c>
      <c r="AM11" s="102">
        <f>(SUMIF([2]!NonNurse[STATE], State112010[[#This Row],[State]], [2]!NonNurse[MPRD: Total Social Work]) + SUMIF([2]!NonNurse[STATE], State112010[[#This Row],[State]], [2]!NonNurse[Hrs_QualActvProf])) / SUMIF([2]!NonNurse[STATE], State112010[[#This Row],[State]], [2]!NonNurse[MDScensus]) * 60</f>
        <v>6.1647060801881253</v>
      </c>
      <c r="AN11" s="109">
        <f>RANK(State112010[[#This Row],[Total Activities MPRD]], State112010[Total Activities MPRD])</f>
        <v>38</v>
      </c>
      <c r="AO11" s="20"/>
      <c r="AP11" s="77" t="s">
        <v>129</v>
      </c>
      <c r="AQ11" s="78">
        <f>SUM([2]!NonNurse[Hrs_QualSocWrk])</f>
        <v>62988.971999999616</v>
      </c>
      <c r="AR11" s="79">
        <f>[2]!Category122114[[#This Row],[US Total Hours]]/SUM([2]!NonNurse[MDScensus])*60</f>
        <v>3.0201887712274949</v>
      </c>
      <c r="AS11" s="85">
        <f>COUNTIF([2]!NonNurse[Hrs_QualSocWrk], 0)</f>
        <v>4625</v>
      </c>
    </row>
    <row r="12" spans="2:46" ht="17" thickBot="1" x14ac:dyDescent="0.25">
      <c r="B12" s="32" t="s">
        <v>54</v>
      </c>
      <c r="C12" s="31">
        <v>1251358.31111111</v>
      </c>
      <c r="D12" s="31"/>
      <c r="F12" s="103">
        <v>10</v>
      </c>
      <c r="G12" s="104">
        <f>SUMIF([2]!NonNurse[CMS Region Number], CMSRegion1017[[#This Row],[CMS Region Number]], [2]!NonNurse[MDScensus])</f>
        <v>26897.011111111122</v>
      </c>
      <c r="H12" s="104">
        <f>COUNTIF([2]!NonNurse[CMS Region Number], CMSRegion1017[[#This Row],[CMS Region Number]])</f>
        <v>406</v>
      </c>
      <c r="I12" s="105">
        <f>SUMIF([2]!NonNurse[CMS Region Number], CMSRegion1017[[#This Row],[CMS Region Number]], [2]!NonNurse[Hrs_Admin])/SUMIF([2]!NonNurse[CMS Region Number], CMSRegion1017[[#This Row],[CMS Region Number]], [2]!NonNurse[MDScensus])*60</f>
        <v>4.9020975895297632</v>
      </c>
      <c r="J12" s="104">
        <f>RANK(CMSRegion1017[[#This Row],[Total Admin MPRD]],CMSRegion1017[Total Admin MPRD])</f>
        <v>2</v>
      </c>
      <c r="K12" s="105">
        <f>SUMIF([2]!NonNurse[CMS Region Number], CMSRegion1017[[#This Row],[CMS Region Number]], [2]!NonNurse[Hrs_MedDir])/SUMIF([2]!NonNurse[CMS Region Number], CMSRegion1017[[#This Row],[CMS Region Number]], [2]!NonNurse[MDScensus])*60</f>
        <v>0.40043135730488005</v>
      </c>
      <c r="L12" s="104">
        <f>RANK(CMSRegion1017[[#This Row],[Total MedDir MPRD]],CMSRegion1017[Total MedDir MPRD])</f>
        <v>1</v>
      </c>
      <c r="M12" s="105">
        <f>SUMIF([2]!NonNurse[CMS Region Number], CMSRegion1017[[#This Row],[CMS Region Number]], [2]!NonNurse[Hrs_Pharmacist])/SUMIF([2]!NonNurse[CMS Region Number], CMSRegion1017[[#This Row],[CMS Region Number]], [2]!NonNurse[MDScensus])*60</f>
        <v>0.35476382960353708</v>
      </c>
      <c r="N12" s="104">
        <f>RANK(CMSRegion1017[[#This Row],[Total Pharmacist MPRD]],CMSRegion1017[Total Pharmacist MPRD])</f>
        <v>2</v>
      </c>
      <c r="O12" s="105">
        <f>(SUMIF([2]!NonNurse[CMS Region Number], CMSRegion1017[[#This Row],[CMS Region Number]], [2]!NonNurse[Hrs_SpcLangPath]) + SUMIF([2]!NonNurse[CMS Region Number], CMSRegion1017[[#This Row],[CMS Region Number]], [2]!NonNurse[Hrs_QualSocWrk])) / SUMIF([2]!NonNurse[CMS Region Number], CMSRegion1017[[#This Row],[CMS Region Number]], [2]!NonNurse[MDScensus]) * 60</f>
        <v>6.7457232546697679</v>
      </c>
      <c r="P12" s="104">
        <f>RANK(CMSRegion1017[[#This Row],[Total Social Work MPRD]],CMSRegion1017[Total Social Work MPRD])</f>
        <v>1</v>
      </c>
      <c r="Q12" s="105">
        <f>(SUMIF([2]!NonNurse[CMS Region Number], CMSRegion1017[[#This Row],[CMS Region Number]], [2]!NonNurse[MPRD: Combined Activities]) + SUMIF([2]!NonNurse[CMS Region Number], CMSRegion1017[[#This Row],[CMS Region Number]], [2]!NonNurse[Hrs_OT]) + SUMIF([2]!NonNurse[CMS Region Number], CMSRegion1017[[#This Row],[CMS Region Number]], [2]!NonNurse[Hrs_OTasst])) / SUMIF([2]!NonNurse[CMS Region Number], CMSRegion1017[[#This Row],[CMS Region Number]], [2]!NonNurse[MDScensus]) * 60</f>
        <v>17.88680396388088</v>
      </c>
      <c r="R12" s="104">
        <f>RANK(CMSRegion1017[[#This Row],[Total OT MPRD]],CMSRegion1017[Total OT MPRD])</f>
        <v>4</v>
      </c>
      <c r="S12" s="105">
        <f>(SUMIF([2]!NonNurse[CMS Region Number], CMSRegion1017[[#This Row],[CMS Region Number]], [2]!NonNurse[MPRD: OT (incl. Assistant &amp; Aide)]) + SUMIF([2]!NonNurse[CMS Region Number], CMSRegion1017[[#This Row],[CMS Region Number]], [2]!NonNurse[Hrs_PT]) + SUMIF([2]!NonNurse[CMS Region Number], CMSRegion1017[[#This Row],[CMS Region Number]], [2]!NonNurse[Hrs_PTasst])) / SUMIF([2]!NonNurse[CMS Region Number], CMSRegion1017[[#This Row],[CMS Region Number]], [2]!NonNurse[MDScensus]) * 60</f>
        <v>18.93013446172991</v>
      </c>
      <c r="T12" s="104">
        <f>RANK(CMSRegion1017[[#This Row],[Total PT MPRD]],CMSRegion1017[Total PT MPRD])</f>
        <v>2</v>
      </c>
      <c r="U12" s="105">
        <f>(SUMIF([2]!NonNurse[CMS Region Number], CMSRegion1017[[#This Row],[CMS Region Number]], [2]!NonNurse[MPRD: Total Social Work]) + SUMIF([2]!NonNurse[CMS Region Number], CMSRegion1017[[#This Row],[CMS Region Number]], [2]!NonNurse[Hrs_QualActvProf])) / SUMIF([2]!NonNurse[CMS Region Number], CMSRegion1017[[#This Row],[CMS Region Number]], [2]!NonNurse[MDScensus]) * 60</f>
        <v>11.752739191584411</v>
      </c>
      <c r="V12" s="104">
        <f>RANK(CMSRegion1017[[#This Row],[Total Activities MPRD]], CMSRegion1017[Total Activities MPRD])</f>
        <v>1</v>
      </c>
      <c r="W12" s="16"/>
      <c r="X12" s="23" t="s">
        <v>49</v>
      </c>
      <c r="Y12" s="16">
        <f>SUMIF([2]!NonNurse[STATE], State112010[[#This Row],[State]], [2]!NonNurse[MDScensus])</f>
        <v>74939.533333333326</v>
      </c>
      <c r="Z12" s="16">
        <f>COUNTIF([2]!NonNurse[STATE], State112010[[#This Row],[State]])</f>
        <v>686</v>
      </c>
      <c r="AA12" s="17">
        <f>SUMIF([2]!NonNurse[STATE], State112010[[#This Row],[State]], [2]!NonNurse[Hrs_Admin])/SUMIF([2]!NonNurse[STATE], State112010[[#This Row],[State]], [2]!NonNurse[MDScensus])*60</f>
        <v>3.0005416811598309</v>
      </c>
      <c r="AB12" s="16">
        <f>RANK(State112010[[#This Row],[Total Admin MPRD]],State112010[Total Admin MPRD])</f>
        <v>46</v>
      </c>
      <c r="AC12" s="17">
        <f>SUMIF([2]!NonNurse[STATE], State112010[[#This Row],[State]], [2]!NonNurse[Hrs_MedDir])/SUMIF([2]!NonNurse[STATE], State112010[[#This Row],[State]], [2]!NonNurse[MDScensus])*60</f>
        <v>0.21885342227022153</v>
      </c>
      <c r="AD12" s="16">
        <f>RANK(State112010[[#This Row],[Total MedDir MPRD]],State112010[Total MedDir MPRD])</f>
        <v>38</v>
      </c>
      <c r="AE12" s="17">
        <f>SUMIF([2]!NonNurse[STATE], State112010[[#This Row],[State]], [2]!NonNurse[Hrs_Pharmacist])/SUMIF([2]!NonNurse[STATE], State112010[[#This Row],[State]], [2]!NonNurse[MDScensus])*60</f>
        <v>0.17905520272788822</v>
      </c>
      <c r="AF12" s="16">
        <f>RANK(State112010[[#This Row],[Total Pharmacist MPRD]],State112010[Total Pharmacist MPRD])</f>
        <v>42</v>
      </c>
      <c r="AG12" s="17">
        <f>(SUMIF([2]!NonNurse[STATE], State112010[[#This Row],[State]], [2]!NonNurse[Hrs_SpcLangPath]) + SUMIF([2]!NonNurse[STATE], State112010[[#This Row],[State]], [2]!NonNurse[Hrs_QualSocWrk])) / SUMIF([2]!NonNurse[STATE], State112010[[#This Row],[State]], [2]!NonNurse[MDScensus]) * 60</f>
        <v>6.3919954131909025</v>
      </c>
      <c r="AH12" s="16">
        <f>RANK(State112010[[#This Row],[Total Social Work MPRD]],State112010[Total Social Work MPRD])</f>
        <v>12</v>
      </c>
      <c r="AI12"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15.038427685733014</v>
      </c>
      <c r="AJ12" s="16">
        <f>RANK(State112010[[#This Row],[Total OT MPRD]],State112010[Total OT MPRD])</f>
        <v>35</v>
      </c>
      <c r="AK12"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18.216773205854576</v>
      </c>
      <c r="AL12" s="16">
        <f>RANK(State112010[[#This Row],[Total PT MPRD]],State112010[Total PT MPRD])</f>
        <v>11</v>
      </c>
      <c r="AM12" s="17">
        <f>(SUMIF([2]!NonNurse[STATE], State112010[[#This Row],[State]], [2]!NonNurse[MPRD: Total Social Work]) + SUMIF([2]!NonNurse[STATE], State112010[[#This Row],[State]], [2]!NonNurse[Hrs_QualActvProf])) / SUMIF([2]!NonNurse[STATE], State112010[[#This Row],[State]], [2]!NonNurse[MDScensus]) * 60</f>
        <v>7.5431177515862853</v>
      </c>
      <c r="AN12" s="36">
        <f>RANK(State112010[[#This Row],[Total Activities MPRD]], State112010[Total Activities MPRD])</f>
        <v>24</v>
      </c>
      <c r="AO12" s="20"/>
      <c r="AP12" s="81" t="s">
        <v>130</v>
      </c>
      <c r="AQ12" s="82">
        <f>SUM([2]!NonNurse[Hrs_OthSocWrk])</f>
        <v>48294.906444444445</v>
      </c>
      <c r="AR12" s="83">
        <f>[2]!Category122114[[#This Row],[US Total Hours]]/SUM([2]!NonNurse[MDScensus])*60</f>
        <v>2.3156392225450895</v>
      </c>
      <c r="AS12" s="84">
        <f>COUNTIF([2]!NonNurse[Hrs_OthSocWrk], 0)</f>
        <v>7961</v>
      </c>
    </row>
    <row r="13" spans="2:46" ht="15" customHeight="1" x14ac:dyDescent="0.2">
      <c r="B13" s="33" t="s">
        <v>131</v>
      </c>
      <c r="C13" s="15">
        <v>86.378015538835513</v>
      </c>
      <c r="D13" s="15"/>
      <c r="T13" s="16"/>
      <c r="W13" s="23"/>
      <c r="X13" s="108" t="s">
        <v>52</v>
      </c>
      <c r="Y13" s="101">
        <f>SUMIF([2]!NonNurse[STATE], State112010[[#This Row],[State]], [2]!NonNurse[MDScensus])</f>
        <v>31544.199999999997</v>
      </c>
      <c r="Z13" s="101">
        <f>COUNTIF([2]!NonNurse[STATE], State112010[[#This Row],[State]])</f>
        <v>349</v>
      </c>
      <c r="AA13" s="102">
        <f>SUMIF([2]!NonNurse[STATE], State112010[[#This Row],[State]], [2]!NonNurse[Hrs_Admin])/SUMIF([2]!NonNurse[STATE], State112010[[#This Row],[State]], [2]!NonNurse[MDScensus])*60</f>
        <v>3.7948643490720886</v>
      </c>
      <c r="AB13" s="101">
        <f>RANK(State112010[[#This Row],[Total Admin MPRD]],State112010[Total Admin MPRD])</f>
        <v>31</v>
      </c>
      <c r="AC13" s="102">
        <f>SUMIF([2]!NonNurse[STATE], State112010[[#This Row],[State]], [2]!NonNurse[Hrs_MedDir])/SUMIF([2]!NonNurse[STATE], State112010[[#This Row],[State]], [2]!NonNurse[MDScensus])*60</f>
        <v>0.23539435670160172</v>
      </c>
      <c r="AD13" s="101">
        <f>RANK(State112010[[#This Row],[Total MedDir MPRD]],State112010[Total MedDir MPRD])</f>
        <v>33</v>
      </c>
      <c r="AE13" s="102">
        <f>SUMIF([2]!NonNurse[STATE], State112010[[#This Row],[State]], [2]!NonNurse[Hrs_Pharmacist])/SUMIF([2]!NonNurse[STATE], State112010[[#This Row],[State]], [2]!NonNurse[MDScensus])*60</f>
        <v>0.30933187928895545</v>
      </c>
      <c r="AF13" s="101">
        <f>RANK(State112010[[#This Row],[Total Pharmacist MPRD]],State112010[Total Pharmacist MPRD])</f>
        <v>19</v>
      </c>
      <c r="AG13" s="102">
        <f>(SUMIF([2]!NonNurse[STATE], State112010[[#This Row],[State]], [2]!NonNurse[Hrs_SpcLangPath]) + SUMIF([2]!NonNurse[STATE], State112010[[#This Row],[State]], [2]!NonNurse[Hrs_QualSocWrk])) / SUMIF([2]!NonNurse[STATE], State112010[[#This Row],[State]], [2]!NonNurse[MDScensus]) * 60</f>
        <v>4.9989536375413985</v>
      </c>
      <c r="AH13" s="101">
        <f>RANK(State112010[[#This Row],[Total Social Work MPRD]],State112010[Total Social Work MPRD])</f>
        <v>37</v>
      </c>
      <c r="AI13"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10.055731795648235</v>
      </c>
      <c r="AJ13" s="101">
        <f>RANK(State112010[[#This Row],[Total OT MPRD]],State112010[Total OT MPRD])</f>
        <v>48</v>
      </c>
      <c r="AK13"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10.422886870342122</v>
      </c>
      <c r="AL13" s="101">
        <f>RANK(State112010[[#This Row],[Total PT MPRD]],State112010[Total PT MPRD])</f>
        <v>47</v>
      </c>
      <c r="AM13" s="102">
        <f>(SUMIF([2]!NonNurse[STATE], State112010[[#This Row],[State]], [2]!NonNurse[MPRD: Total Social Work]) + SUMIF([2]!NonNurse[STATE], State112010[[#This Row],[State]], [2]!NonNurse[Hrs_QualActvProf])) / SUMIF([2]!NonNurse[STATE], State112010[[#This Row],[State]], [2]!NonNurse[MDScensus]) * 60</f>
        <v>5.9923488293860405</v>
      </c>
      <c r="AN13" s="109">
        <f>RANK(State112010[[#This Row],[Total Activities MPRD]], State112010[Total Activities MPRD])</f>
        <v>41</v>
      </c>
      <c r="AO13" s="20"/>
      <c r="AP13" s="86" t="s">
        <v>132</v>
      </c>
      <c r="AQ13" s="87">
        <f>SUM([2]!NonNurse[Hrs_QualActvProf], [2]!NonNurse[Hrs_OthActv])</f>
        <v>202757.76111111167</v>
      </c>
      <c r="AR13" s="88">
        <f>[2]!Category122114[[#This Row],[US Total Hours]]/SUM([2]!NonNurse[MDScensus])*60</f>
        <v>9.7218083411015197</v>
      </c>
      <c r="AS13" s="90">
        <f>COUNTIF([2]!NonNurse[MPRD: Combined Activities], 0)</f>
        <v>921</v>
      </c>
    </row>
    <row r="14" spans="2:46" ht="15" customHeight="1" x14ac:dyDescent="0.2">
      <c r="B14" s="72"/>
      <c r="C14" s="34">
        <v>20</v>
      </c>
      <c r="D14" s="39"/>
      <c r="G14" s="17"/>
      <c r="H14" s="17"/>
      <c r="I14" s="17"/>
      <c r="J14" s="17"/>
      <c r="K14" s="17"/>
      <c r="L14" s="17"/>
      <c r="M14" s="17"/>
      <c r="N14" s="17"/>
      <c r="O14" s="17"/>
      <c r="P14" s="17"/>
      <c r="Q14" s="17"/>
      <c r="R14" s="17"/>
      <c r="T14" s="16"/>
      <c r="W14" s="23"/>
      <c r="X14" s="23" t="s">
        <v>55</v>
      </c>
      <c r="Y14" s="16">
        <f>SUMIF([2]!NonNurse[STATE], State112010[[#This Row],[State]], [2]!NonNurse[MDScensus])</f>
        <v>3449.8333333333335</v>
      </c>
      <c r="Z14" s="16">
        <f>COUNTIF([2]!NonNurse[STATE], State112010[[#This Row],[State]])</f>
        <v>42</v>
      </c>
      <c r="AA14" s="17">
        <f>SUMIF([2]!NonNurse[STATE], State112010[[#This Row],[State]], [2]!NonNurse[Hrs_Admin])/SUMIF([2]!NonNurse[STATE], State112010[[#This Row],[State]], [2]!NonNurse[MDScensus])*60</f>
        <v>3.7913155224890085</v>
      </c>
      <c r="AB14" s="16">
        <f>RANK(State112010[[#This Row],[Total Admin MPRD]],State112010[Total Admin MPRD])</f>
        <v>32</v>
      </c>
      <c r="AC14" s="17">
        <f>SUMIF([2]!NonNurse[STATE], State112010[[#This Row],[State]], [2]!NonNurse[Hrs_MedDir])/SUMIF([2]!NonNurse[STATE], State112010[[#This Row],[State]], [2]!NonNurse[MDScensus])*60</f>
        <v>0.38475288661287976</v>
      </c>
      <c r="AD14" s="16">
        <f>RANK(State112010[[#This Row],[Total MedDir MPRD]],State112010[Total MedDir MPRD])</f>
        <v>9</v>
      </c>
      <c r="AE14" s="17">
        <f>SUMIF([2]!NonNurse[STATE], State112010[[#This Row],[State]], [2]!NonNurse[Hrs_Pharmacist])/SUMIF([2]!NonNurse[STATE], State112010[[#This Row],[State]], [2]!NonNurse[MDScensus])*60</f>
        <v>0.32062611720372963</v>
      </c>
      <c r="AF14" s="16">
        <f>RANK(State112010[[#This Row],[Total Pharmacist MPRD]],State112010[Total Pharmacist MPRD])</f>
        <v>16</v>
      </c>
      <c r="AG14" s="17">
        <f>(SUMIF([2]!NonNurse[STATE], State112010[[#This Row],[State]], [2]!NonNurse[Hrs_SpcLangPath]) + SUMIF([2]!NonNurse[STATE], State112010[[#This Row],[State]], [2]!NonNurse[Hrs_QualSocWrk])) / SUMIF([2]!NonNurse[STATE], State112010[[#This Row],[State]], [2]!NonNurse[MDScensus]) * 60</f>
        <v>5.0183119957485864</v>
      </c>
      <c r="AH14" s="16">
        <f>RANK(State112010[[#This Row],[Total Social Work MPRD]],State112010[Total Social Work MPRD])</f>
        <v>36</v>
      </c>
      <c r="AI14"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20.838734258236673</v>
      </c>
      <c r="AJ14" s="16">
        <f>RANK(State112010[[#This Row],[Total OT MPRD]],State112010[Total OT MPRD])</f>
        <v>7</v>
      </c>
      <c r="AK14"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15.311491323016737</v>
      </c>
      <c r="AL14" s="16">
        <f>RANK(State112010[[#This Row],[Total PT MPRD]],State112010[Total PT MPRD])</f>
        <v>23</v>
      </c>
      <c r="AM14" s="17">
        <f>(SUMIF([2]!NonNurse[STATE], State112010[[#This Row],[State]], [2]!NonNurse[MPRD: Total Social Work]) + SUMIF([2]!NonNurse[STATE], State112010[[#This Row],[State]], [2]!NonNurse[Hrs_QualActvProf])) / SUMIF([2]!NonNurse[STATE], State112010[[#This Row],[State]], [2]!NonNurse[MDScensus]) * 60</f>
        <v>7.2840008955821576</v>
      </c>
      <c r="AN14" s="36">
        <f>RANK(State112010[[#This Row],[Total Activities MPRD]], State112010[Total Activities MPRD])</f>
        <v>28</v>
      </c>
      <c r="AP14" s="81" t="s">
        <v>133</v>
      </c>
      <c r="AQ14" s="82">
        <f>SUM([2]!NonNurse[Hrs_QualActvProf])</f>
        <v>64959.535777777433</v>
      </c>
      <c r="AR14" s="83">
        <f>[2]!Category122114[[#This Row],[US Total Hours]]/SUM([2]!NonNurse[MDScensus])*60</f>
        <v>3.114673161203446</v>
      </c>
      <c r="AS14" s="91">
        <f>COUNTIF([2]!NonNurse[Hrs_QualActvProf], 0)</f>
        <v>3703</v>
      </c>
    </row>
    <row r="15" spans="2:46" ht="15" customHeight="1" x14ac:dyDescent="0.2">
      <c r="T15" s="16"/>
      <c r="W15" s="23"/>
      <c r="X15" s="108" t="s">
        <v>57</v>
      </c>
      <c r="Y15" s="101">
        <f>SUMIF([2]!NonNurse[STATE], State112010[[#This Row],[State]], [2]!NonNurse[MDScensus])</f>
        <v>20233.555555555569</v>
      </c>
      <c r="Z15" s="101">
        <f>COUNTIF([2]!NonNurse[STATE], State112010[[#This Row],[State]])</f>
        <v>387</v>
      </c>
      <c r="AA15" s="102">
        <f>SUMIF([2]!NonNurse[STATE], State112010[[#This Row],[State]], [2]!NonNurse[Hrs_Admin])/SUMIF([2]!NonNurse[STATE], State112010[[#This Row],[State]], [2]!NonNurse[MDScensus])*60</f>
        <v>5.830906964228828</v>
      </c>
      <c r="AB15" s="101">
        <f>RANK(State112010[[#This Row],[Total Admin MPRD]],State112010[Total Admin MPRD])</f>
        <v>4</v>
      </c>
      <c r="AC15" s="102">
        <f>SUMIF([2]!NonNurse[STATE], State112010[[#This Row],[State]], [2]!NonNurse[Hrs_MedDir])/SUMIF([2]!NonNurse[STATE], State112010[[#This Row],[State]], [2]!NonNurse[MDScensus])*60</f>
        <v>0.25307860429868956</v>
      </c>
      <c r="AD15" s="101">
        <f>RANK(State112010[[#This Row],[Total MedDir MPRD]],State112010[Total MedDir MPRD])</f>
        <v>28</v>
      </c>
      <c r="AE15" s="102">
        <f>SUMIF([2]!NonNurse[STATE], State112010[[#This Row],[State]], [2]!NonNurse[Hrs_Pharmacist])/SUMIF([2]!NonNurse[STATE], State112010[[#This Row],[State]], [2]!NonNurse[MDScensus])*60</f>
        <v>0.34766768075034837</v>
      </c>
      <c r="AF15" s="101">
        <f>RANK(State112010[[#This Row],[Total Pharmacist MPRD]],State112010[Total Pharmacist MPRD])</f>
        <v>11</v>
      </c>
      <c r="AG15" s="102">
        <f>(SUMIF([2]!NonNurse[STATE], State112010[[#This Row],[State]], [2]!NonNurse[Hrs_SpcLangPath]) + SUMIF([2]!NonNurse[STATE], State112010[[#This Row],[State]], [2]!NonNurse[Hrs_QualSocWrk])) / SUMIF([2]!NonNurse[STATE], State112010[[#This Row],[State]], [2]!NonNurse[MDScensus]) * 60</f>
        <v>4.3524108466683478</v>
      </c>
      <c r="AH15" s="101">
        <f>RANK(State112010[[#This Row],[Total Social Work MPRD]],State112010[Total Social Work MPRD])</f>
        <v>46</v>
      </c>
      <c r="AI15"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17.415092869158237</v>
      </c>
      <c r="AJ15" s="101">
        <f>RANK(State112010[[#This Row],[Total OT MPRD]],State112010[Total OT MPRD])</f>
        <v>23</v>
      </c>
      <c r="AK15"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11.348139133738865</v>
      </c>
      <c r="AL15" s="101">
        <f>RANK(State112010[[#This Row],[Total PT MPRD]],State112010[Total PT MPRD])</f>
        <v>42</v>
      </c>
      <c r="AM15" s="102">
        <f>(SUMIF([2]!NonNurse[STATE], State112010[[#This Row],[State]], [2]!NonNurse[MPRD: Total Social Work]) + SUMIF([2]!NonNurse[STATE], State112010[[#This Row],[State]], [2]!NonNurse[Hrs_QualActvProf])) / SUMIF([2]!NonNurse[STATE], State112010[[#This Row],[State]], [2]!NonNurse[MDScensus]) * 60</f>
        <v>10.744398500004843</v>
      </c>
      <c r="AN15" s="109">
        <f>RANK(State112010[[#This Row],[Total Activities MPRD]], State112010[Total Activities MPRD])</f>
        <v>11</v>
      </c>
      <c r="AP15" s="77" t="s">
        <v>134</v>
      </c>
      <c r="AQ15" s="92">
        <f>SUM([2]!NonNurse[Hrs_OthActv])</f>
        <v>137798.22533333351</v>
      </c>
      <c r="AR15" s="79">
        <f>[2]!Category122114[[#This Row],[US Total Hours]]/SUM([2]!NonNurse[MDScensus])*60</f>
        <v>6.60713517989804</v>
      </c>
      <c r="AS15" s="80">
        <f>COUNTIF([2]!NonNurse[Hrs_OthActv], 0)</f>
        <v>3398</v>
      </c>
    </row>
    <row r="16" spans="2:46" ht="15" customHeight="1" x14ac:dyDescent="0.2">
      <c r="T16" s="16"/>
      <c r="W16" s="23"/>
      <c r="X16" s="23" t="s">
        <v>60</v>
      </c>
      <c r="Y16" s="16">
        <f>SUMIF([2]!NonNurse[STATE], State112010[[#This Row],[State]], [2]!NonNurse[MDScensus])</f>
        <v>4536.7333333333336</v>
      </c>
      <c r="Z16" s="16">
        <f>COUNTIF([2]!NonNurse[STATE], State112010[[#This Row],[State]])</f>
        <v>79</v>
      </c>
      <c r="AA16" s="17">
        <f>SUMIF([2]!NonNurse[STATE], State112010[[#This Row],[State]], [2]!NonNurse[Hrs_Admin])/SUMIF([2]!NonNurse[STATE], State112010[[#This Row],[State]], [2]!NonNurse[MDScensus])*60</f>
        <v>5.642084613010832</v>
      </c>
      <c r="AB16" s="16">
        <f>RANK(State112010[[#This Row],[Total Admin MPRD]],State112010[Total Admin MPRD])</f>
        <v>5</v>
      </c>
      <c r="AC16" s="17">
        <f>SUMIF([2]!NonNurse[STATE], State112010[[#This Row],[State]], [2]!NonNurse[Hrs_MedDir])/SUMIF([2]!NonNurse[STATE], State112010[[#This Row],[State]], [2]!NonNurse[MDScensus])*60</f>
        <v>0.35890141217616195</v>
      </c>
      <c r="AD16" s="16">
        <f>RANK(State112010[[#This Row],[Total MedDir MPRD]],State112010[Total MedDir MPRD])</f>
        <v>11</v>
      </c>
      <c r="AE16" s="17">
        <f>SUMIF([2]!NonNurse[STATE], State112010[[#This Row],[State]], [2]!NonNurse[Hrs_Pharmacist])/SUMIF([2]!NonNurse[STATE], State112010[[#This Row],[State]], [2]!NonNurse[MDScensus])*60</f>
        <v>0.56684251517244411</v>
      </c>
      <c r="AF16" s="16">
        <f>RANK(State112010[[#This Row],[Total Pharmacist MPRD]],State112010[Total Pharmacist MPRD])</f>
        <v>6</v>
      </c>
      <c r="AG16" s="17">
        <f>(SUMIF([2]!NonNurse[STATE], State112010[[#This Row],[State]], [2]!NonNurse[Hrs_SpcLangPath]) + SUMIF([2]!NonNurse[STATE], State112010[[#This Row],[State]], [2]!NonNurse[Hrs_QualSocWrk])) / SUMIF([2]!NonNurse[STATE], State112010[[#This Row],[State]], [2]!NonNurse[MDScensus]) * 60</f>
        <v>6.7490676110564127</v>
      </c>
      <c r="AH16" s="16">
        <f>RANK(State112010[[#This Row],[Total Social Work MPRD]],State112010[Total Social Work MPRD])</f>
        <v>10</v>
      </c>
      <c r="AI16"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19.645433660998133</v>
      </c>
      <c r="AJ16" s="16">
        <f>RANK(State112010[[#This Row],[Total OT MPRD]],State112010[Total OT MPRD])</f>
        <v>11</v>
      </c>
      <c r="AK16"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20.662688999618968</v>
      </c>
      <c r="AL16" s="16">
        <f>RANK(State112010[[#This Row],[Total PT MPRD]],State112010[Total PT MPRD])</f>
        <v>4</v>
      </c>
      <c r="AM16" s="17">
        <f>(SUMIF([2]!NonNurse[STATE], State112010[[#This Row],[State]], [2]!NonNurse[MPRD: Total Social Work]) + SUMIF([2]!NonNurse[STATE], State112010[[#This Row],[State]], [2]!NonNurse[Hrs_QualActvProf])) / SUMIF([2]!NonNurse[STATE], State112010[[#This Row],[State]], [2]!NonNurse[MDScensus]) * 60</f>
        <v>14.433265201137893</v>
      </c>
      <c r="AN16" s="36">
        <f>RANK(State112010[[#This Row],[Total Activities MPRD]], State112010[Total Activities MPRD])</f>
        <v>2</v>
      </c>
      <c r="AP16" s="86" t="s">
        <v>135</v>
      </c>
      <c r="AQ16" s="87">
        <f>SUM([2]!NonNurse[Hrs_OT], [2]!NonNurse[Hrs_OTasst], [2]!NonNurse[Hrs_OTaide])</f>
        <v>175516.28144444441</v>
      </c>
      <c r="AR16" s="88">
        <f>[2]!Category122114[[#This Row],[US Total Hours]]/SUM([2]!NonNurse[MDScensus])*60</f>
        <v>8.4156366670997436</v>
      </c>
      <c r="AS16" s="90">
        <f>COUNTIF([2]!NonNurse[MPRD: OT (incl. Assistant &amp; Aide)], 0)</f>
        <v>740</v>
      </c>
    </row>
    <row r="17" spans="20:45" ht="15" customHeight="1" x14ac:dyDescent="0.2">
      <c r="T17" s="16"/>
      <c r="W17" s="23"/>
      <c r="X17" s="108" t="s">
        <v>61</v>
      </c>
      <c r="Y17" s="101">
        <f>SUMIF([2]!NonNurse[STATE], State112010[[#This Row],[State]], [2]!NonNurse[MDScensus])</f>
        <v>62809.400000000096</v>
      </c>
      <c r="Z17" s="101">
        <f>COUNTIF([2]!NonNurse[STATE], State112010[[#This Row],[State]])</f>
        <v>656</v>
      </c>
      <c r="AA17" s="102">
        <f>SUMIF([2]!NonNurse[STATE], State112010[[#This Row],[State]], [2]!NonNurse[Hrs_Admin])/SUMIF([2]!NonNurse[STATE], State112010[[#This Row],[State]], [2]!NonNurse[MDScensus])*60</f>
        <v>3.3723510599793398</v>
      </c>
      <c r="AB17" s="101">
        <f>RANK(State112010[[#This Row],[Total Admin MPRD]],State112010[Total Admin MPRD])</f>
        <v>40</v>
      </c>
      <c r="AC17" s="102">
        <f>SUMIF([2]!NonNurse[STATE], State112010[[#This Row],[State]], [2]!NonNurse[Hrs_MedDir])/SUMIF([2]!NonNurse[STATE], State112010[[#This Row],[State]], [2]!NonNurse[MDScensus])*60</f>
        <v>0.12566049030877532</v>
      </c>
      <c r="AD17" s="101">
        <f>RANK(State112010[[#This Row],[Total MedDir MPRD]],State112010[Total MedDir MPRD])</f>
        <v>52</v>
      </c>
      <c r="AE17" s="102">
        <f>SUMIF([2]!NonNurse[STATE], State112010[[#This Row],[State]], [2]!NonNurse[Hrs_Pharmacist])/SUMIF([2]!NonNurse[STATE], State112010[[#This Row],[State]], [2]!NonNurse[MDScensus])*60</f>
        <v>0.10976923836241054</v>
      </c>
      <c r="AF17" s="101">
        <f>RANK(State112010[[#This Row],[Total Pharmacist MPRD]],State112010[Total Pharmacist MPRD])</f>
        <v>50</v>
      </c>
      <c r="AG17" s="102">
        <f>(SUMIF([2]!NonNurse[STATE], State112010[[#This Row],[State]], [2]!NonNurse[Hrs_SpcLangPath]) + SUMIF([2]!NonNurse[STATE], State112010[[#This Row],[State]], [2]!NonNurse[Hrs_QualSocWrk])) / SUMIF([2]!NonNurse[STATE], State112010[[#This Row],[State]], [2]!NonNurse[MDScensus]) * 60</f>
        <v>3.5930008353314351</v>
      </c>
      <c r="AH17" s="101">
        <f>RANK(State112010[[#This Row],[Total Social Work MPRD]],State112010[Total Social Work MPRD])</f>
        <v>51</v>
      </c>
      <c r="AI17"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13.589239566629239</v>
      </c>
      <c r="AJ17" s="101">
        <f>RANK(State112010[[#This Row],[Total OT MPRD]],State112010[Total OT MPRD])</f>
        <v>42</v>
      </c>
      <c r="AK17"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10.948000940931109</v>
      </c>
      <c r="AL17" s="101">
        <f>RANK(State112010[[#This Row],[Total PT MPRD]],State112010[Total PT MPRD])</f>
        <v>43</v>
      </c>
      <c r="AM17" s="102">
        <f>(SUMIF([2]!NonNurse[STATE], State112010[[#This Row],[State]], [2]!NonNurse[MPRD: Total Social Work]) + SUMIF([2]!NonNurse[STATE], State112010[[#This Row],[State]], [2]!NonNurse[Hrs_QualActvProf])) / SUMIF([2]!NonNurse[STATE], State112010[[#This Row],[State]], [2]!NonNurse[MDScensus]) * 60</f>
        <v>5.2688132580635312</v>
      </c>
      <c r="AN17" s="109">
        <f>RANK(State112010[[#This Row],[Total Activities MPRD]], State112010[Total Activities MPRD])</f>
        <v>46</v>
      </c>
      <c r="AP17" s="77" t="s">
        <v>136</v>
      </c>
      <c r="AQ17" s="78">
        <f>SUM([2]!NonNurse[Hrs_OT])</f>
        <v>82429.512333333405</v>
      </c>
      <c r="AR17" s="79">
        <f>[2]!Category122114[[#This Row],[US Total Hours]]/SUM([2]!NonNurse[MDScensus])*60</f>
        <v>3.9523218059010929</v>
      </c>
      <c r="AS17" s="80">
        <f>COUNTIF([2]!NonNurse[Hrs_OT], 0)</f>
        <v>935</v>
      </c>
    </row>
    <row r="18" spans="20:45" ht="15" customHeight="1" x14ac:dyDescent="0.2">
      <c r="T18" s="16"/>
      <c r="W18" s="23"/>
      <c r="X18" s="23" t="s">
        <v>62</v>
      </c>
      <c r="Y18" s="16">
        <f>SUMIF([2]!NonNurse[STATE], State112010[[#This Row],[State]], [2]!NonNurse[MDScensus])</f>
        <v>36762.488888888874</v>
      </c>
      <c r="Z18" s="16">
        <f>COUNTIF([2]!NonNurse[STATE], State112010[[#This Row],[State]])</f>
        <v>506</v>
      </c>
      <c r="AA18" s="17">
        <f>SUMIF([2]!NonNurse[STATE], State112010[[#This Row],[State]], [2]!NonNurse[Hrs_Admin])/SUMIF([2]!NonNurse[STATE], State112010[[#This Row],[State]], [2]!NonNurse[MDScensus])*60</f>
        <v>4.5348046801328774</v>
      </c>
      <c r="AB18" s="16">
        <f>RANK(State112010[[#This Row],[Total Admin MPRD]],State112010[Total Admin MPRD])</f>
        <v>17</v>
      </c>
      <c r="AC18" s="17">
        <f>SUMIF([2]!NonNurse[STATE], State112010[[#This Row],[State]], [2]!NonNurse[Hrs_MedDir])/SUMIF([2]!NonNurse[STATE], State112010[[#This Row],[State]], [2]!NonNurse[MDScensus])*60</f>
        <v>0.27466711237058095</v>
      </c>
      <c r="AD18" s="16">
        <f>RANK(State112010[[#This Row],[Total MedDir MPRD]],State112010[Total MedDir MPRD])</f>
        <v>24</v>
      </c>
      <c r="AE18" s="17">
        <f>SUMIF([2]!NonNurse[STATE], State112010[[#This Row],[State]], [2]!NonNurse[Hrs_Pharmacist])/SUMIF([2]!NonNurse[STATE], State112010[[#This Row],[State]], [2]!NonNurse[MDScensus])*60</f>
        <v>0.23388187959707729</v>
      </c>
      <c r="AF18" s="16">
        <f>RANK(State112010[[#This Row],[Total Pharmacist MPRD]],State112010[Total Pharmacist MPRD])</f>
        <v>35</v>
      </c>
      <c r="AG18" s="17">
        <f>(SUMIF([2]!NonNurse[STATE], State112010[[#This Row],[State]], [2]!NonNurse[Hrs_SpcLangPath]) + SUMIF([2]!NonNurse[STATE], State112010[[#This Row],[State]], [2]!NonNurse[Hrs_QualSocWrk])) / SUMIF([2]!NonNurse[STATE], State112010[[#This Row],[State]], [2]!NonNurse[MDScensus]) * 60</f>
        <v>6.1742810908704051</v>
      </c>
      <c r="AH18" s="16">
        <f>RANK(State112010[[#This Row],[Total Social Work MPRD]],State112010[Total Social Work MPRD])</f>
        <v>14</v>
      </c>
      <c r="AI18"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21.293538061409162</v>
      </c>
      <c r="AJ18" s="16">
        <f>RANK(State112010[[#This Row],[Total OT MPRD]],State112010[Total OT MPRD])</f>
        <v>5</v>
      </c>
      <c r="AK18"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14.434938719733777</v>
      </c>
      <c r="AL18" s="16">
        <f>RANK(State112010[[#This Row],[Total PT MPRD]],State112010[Total PT MPRD])</f>
        <v>29</v>
      </c>
      <c r="AM18" s="17">
        <f>(SUMIF([2]!NonNurse[STATE], State112010[[#This Row],[State]], [2]!NonNurse[MPRD: Total Social Work]) + SUMIF([2]!NonNurse[STATE], State112010[[#This Row],[State]], [2]!NonNurse[Hrs_QualActvProf])) / SUMIF([2]!NonNurse[STATE], State112010[[#This Row],[State]], [2]!NonNurse[MDScensus]) * 60</f>
        <v>9.1749485725916777</v>
      </c>
      <c r="AN18" s="36">
        <f>RANK(State112010[[#This Row],[Total Activities MPRD]], State112010[Total Activities MPRD])</f>
        <v>19</v>
      </c>
      <c r="AP18" s="81" t="s">
        <v>137</v>
      </c>
      <c r="AQ18" s="82">
        <f>SUM([2]!NonNurse[Hrs_OTasst])</f>
        <v>89049.332888888835</v>
      </c>
      <c r="AR18" s="83">
        <f>[2]!Category122114[[#This Row],[US Total Hours]]/SUM([2]!NonNurse[MDScensus])*60</f>
        <v>4.2697282831719017</v>
      </c>
      <c r="AS18" s="91">
        <f>COUNTIF([2]!NonNurse[Hrs_OTasst], 0)</f>
        <v>2319</v>
      </c>
    </row>
    <row r="19" spans="20:45" ht="15" customHeight="1" x14ac:dyDescent="0.2">
      <c r="W19" s="23"/>
      <c r="X19" s="108" t="s">
        <v>66</v>
      </c>
      <c r="Y19" s="101">
        <f>SUMIF([2]!NonNurse[STATE], State112010[[#This Row],[State]], [2]!NonNurse[MDScensus])</f>
        <v>14935.700000000008</v>
      </c>
      <c r="Z19" s="101">
        <f>COUNTIF([2]!NonNurse[STATE], State112010[[#This Row],[State]])</f>
        <v>292</v>
      </c>
      <c r="AA19" s="102">
        <f>SUMIF([2]!NonNurse[STATE], State112010[[#This Row],[State]], [2]!NonNurse[Hrs_Admin])/SUMIF([2]!NonNurse[STATE], State112010[[#This Row],[State]], [2]!NonNurse[MDScensus])*60</f>
        <v>6.1807271615435839</v>
      </c>
      <c r="AB19" s="101">
        <f>RANK(State112010[[#This Row],[Total Admin MPRD]],State112010[Total Admin MPRD])</f>
        <v>1</v>
      </c>
      <c r="AC19" s="102">
        <f>SUMIF([2]!NonNurse[STATE], State112010[[#This Row],[State]], [2]!NonNurse[Hrs_MedDir])/SUMIF([2]!NonNurse[STATE], State112010[[#This Row],[State]], [2]!NonNurse[MDScensus])*60</f>
        <v>0.20886823739987628</v>
      </c>
      <c r="AD19" s="101">
        <f>RANK(State112010[[#This Row],[Total MedDir MPRD]],State112010[Total MedDir MPRD])</f>
        <v>40</v>
      </c>
      <c r="AE19" s="102">
        <f>SUMIF([2]!NonNurse[STATE], State112010[[#This Row],[State]], [2]!NonNurse[Hrs_Pharmacist])/SUMIF([2]!NonNurse[STATE], State112010[[#This Row],[State]], [2]!NonNurse[MDScensus])*60</f>
        <v>0.20889055529146053</v>
      </c>
      <c r="AF19" s="101">
        <f>RANK(State112010[[#This Row],[Total Pharmacist MPRD]],State112010[Total Pharmacist MPRD])</f>
        <v>38</v>
      </c>
      <c r="AG19" s="102">
        <f>(SUMIF([2]!NonNurse[STATE], State112010[[#This Row],[State]], [2]!NonNurse[Hrs_SpcLangPath]) + SUMIF([2]!NonNurse[STATE], State112010[[#This Row],[State]], [2]!NonNurse[Hrs_QualSocWrk])) / SUMIF([2]!NonNurse[STATE], State112010[[#This Row],[State]], [2]!NonNurse[MDScensus]) * 60</f>
        <v>5.0951326910244088</v>
      </c>
      <c r="AH19" s="101">
        <f>RANK(State112010[[#This Row],[Total Social Work MPRD]],State112010[Total Social Work MPRD])</f>
        <v>35</v>
      </c>
      <c r="AI19"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18.310276229018587</v>
      </c>
      <c r="AJ19" s="101">
        <f>RANK(State112010[[#This Row],[Total OT MPRD]],State112010[Total OT MPRD])</f>
        <v>18</v>
      </c>
      <c r="AK19"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15.123263755442689</v>
      </c>
      <c r="AL19" s="101">
        <f>RANK(State112010[[#This Row],[Total PT MPRD]],State112010[Total PT MPRD])</f>
        <v>24</v>
      </c>
      <c r="AM19" s="102">
        <f>(SUMIF([2]!NonNurse[STATE], State112010[[#This Row],[State]], [2]!NonNurse[MPRD: Total Social Work]) + SUMIF([2]!NonNurse[STATE], State112010[[#This Row],[State]], [2]!NonNurse[Hrs_QualActvProf])) / SUMIF([2]!NonNurse[STATE], State112010[[#This Row],[State]], [2]!NonNurse[MDScensus]) * 60</f>
        <v>12.805598933372885</v>
      </c>
      <c r="AN19" s="109">
        <f>RANK(State112010[[#This Row],[Total Activities MPRD]], State112010[Total Activities MPRD])</f>
        <v>5</v>
      </c>
      <c r="AP19" s="77" t="s">
        <v>138</v>
      </c>
      <c r="AQ19" s="93">
        <f>SUM([2]!NonNurse[Hrs_OTaide])</f>
        <v>4037.4362222222207</v>
      </c>
      <c r="AR19" s="79">
        <f>[2]!Category122114[[#This Row],[US Total Hours]]/SUM([2]!NonNurse[MDScensus])*60</f>
        <v>0.19358657802675019</v>
      </c>
      <c r="AS19" s="80">
        <f>COUNTIF([2]!NonNurse[Hrs_OTaide], 0)</f>
        <v>13823</v>
      </c>
    </row>
    <row r="20" spans="20:45" ht="15" customHeight="1" x14ac:dyDescent="0.2">
      <c r="W20" s="23"/>
      <c r="X20" s="23" t="s">
        <v>68</v>
      </c>
      <c r="Y20" s="16">
        <f>SUMIF([2]!NonNurse[STATE], State112010[[#This Row],[State]], [2]!NonNurse[MDScensus])</f>
        <v>21692.488888888874</v>
      </c>
      <c r="Z20" s="16">
        <f>COUNTIF([2]!NonNurse[STATE], State112010[[#This Row],[State]])</f>
        <v>263</v>
      </c>
      <c r="AA20" s="17">
        <f>SUMIF([2]!NonNurse[STATE], State112010[[#This Row],[State]], [2]!NonNurse[Hrs_Admin])/SUMIF([2]!NonNurse[STATE], State112010[[#This Row],[State]], [2]!NonNurse[MDScensus])*60</f>
        <v>3.9682494299101974</v>
      </c>
      <c r="AB20" s="16">
        <f>RANK(State112010[[#This Row],[Total Admin MPRD]],State112010[Total Admin MPRD])</f>
        <v>26</v>
      </c>
      <c r="AC20" s="17">
        <f>SUMIF([2]!NonNurse[STATE], State112010[[#This Row],[State]], [2]!NonNurse[Hrs_MedDir])/SUMIF([2]!NonNurse[STATE], State112010[[#This Row],[State]], [2]!NonNurse[MDScensus])*60</f>
        <v>0.23403953442154063</v>
      </c>
      <c r="AD20" s="16">
        <f>RANK(State112010[[#This Row],[Total MedDir MPRD]],State112010[Total MedDir MPRD])</f>
        <v>34</v>
      </c>
      <c r="AE20" s="17">
        <f>SUMIF([2]!NonNurse[STATE], State112010[[#This Row],[State]], [2]!NonNurse[Hrs_Pharmacist])/SUMIF([2]!NonNurse[STATE], State112010[[#This Row],[State]], [2]!NonNurse[MDScensus])*60</f>
        <v>0.28982412755259906</v>
      </c>
      <c r="AF20" s="16">
        <f>RANK(State112010[[#This Row],[Total Pharmacist MPRD]],State112010[Total Pharmacist MPRD])</f>
        <v>24</v>
      </c>
      <c r="AG20" s="17">
        <f>(SUMIF([2]!NonNurse[STATE], State112010[[#This Row],[State]], [2]!NonNurse[Hrs_SpcLangPath]) + SUMIF([2]!NonNurse[STATE], State112010[[#This Row],[State]], [2]!NonNurse[Hrs_QualSocWrk])) / SUMIF([2]!NonNurse[STATE], State112010[[#This Row],[State]], [2]!NonNurse[MDScensus]) * 60</f>
        <v>6.1439257008570332</v>
      </c>
      <c r="AH20" s="16">
        <f>RANK(State112010[[#This Row],[Total Social Work MPRD]],State112010[Total Social Work MPRD])</f>
        <v>16</v>
      </c>
      <c r="AI20"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15.345772469627869</v>
      </c>
      <c r="AJ20" s="16">
        <f>RANK(State112010[[#This Row],[Total OT MPRD]],State112010[Total OT MPRD])</f>
        <v>33</v>
      </c>
      <c r="AK20"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14.750986971651832</v>
      </c>
      <c r="AL20" s="16">
        <f>RANK(State112010[[#This Row],[Total PT MPRD]],State112010[Total PT MPRD])</f>
        <v>25</v>
      </c>
      <c r="AM20" s="17">
        <f>(SUMIF([2]!NonNurse[STATE], State112010[[#This Row],[State]], [2]!NonNurse[MPRD: Total Social Work]) + SUMIF([2]!NonNurse[STATE], State112010[[#This Row],[State]], [2]!NonNurse[Hrs_QualActvProf])) / SUMIF([2]!NonNurse[STATE], State112010[[#This Row],[State]], [2]!NonNurse[MDScensus]) * 60</f>
        <v>6.9951852135679191</v>
      </c>
      <c r="AN20" s="36">
        <f>RANK(State112010[[#This Row],[Total Activities MPRD]], State112010[Total Activities MPRD])</f>
        <v>31</v>
      </c>
      <c r="AP20" s="86" t="s">
        <v>139</v>
      </c>
      <c r="AQ20" s="94">
        <f>SUM([2]!NonNurse[Hrs_PT], [2]!NonNurse[Hrs_PTasst], [2]!NonNurse[Hrs_PTaide])</f>
        <v>197668.611444446</v>
      </c>
      <c r="AR20" s="88">
        <f>[2]!Category122114[[#This Row],[US Total Hours]]/SUM([2]!NonNurse[MDScensus])*60</f>
        <v>9.477794314672261</v>
      </c>
      <c r="AS20" s="90">
        <f>COUNTIF([2]!NonNurse[MPRD: PT (incl. Assistant &amp; Aide)], 0)</f>
        <v>639</v>
      </c>
    </row>
    <row r="21" spans="20:45" ht="15" customHeight="1" x14ac:dyDescent="0.2">
      <c r="W21" s="23"/>
      <c r="X21" s="108" t="s">
        <v>70</v>
      </c>
      <c r="Y21" s="101">
        <f>SUMIF([2]!NonNurse[STATE], State112010[[#This Row],[State]], [2]!NonNurse[MDScensus])</f>
        <v>23566.655555555539</v>
      </c>
      <c r="Z21" s="101">
        <f>COUNTIF([2]!NonNurse[STATE], State112010[[#This Row],[State]])</f>
        <v>256</v>
      </c>
      <c r="AA21" s="102">
        <f>SUMIF([2]!NonNurse[STATE], State112010[[#This Row],[State]], [2]!NonNurse[Hrs_Admin])/SUMIF([2]!NonNurse[STATE], State112010[[#This Row],[State]], [2]!NonNurse[MDScensus])*60</f>
        <v>3.9461048307896456</v>
      </c>
      <c r="AB21" s="101">
        <f>RANK(State112010[[#This Row],[Total Admin MPRD]],State112010[Total Admin MPRD])</f>
        <v>28</v>
      </c>
      <c r="AC21" s="102">
        <f>SUMIF([2]!NonNurse[STATE], State112010[[#This Row],[State]], [2]!NonNurse[Hrs_MedDir])/SUMIF([2]!NonNurse[STATE], State112010[[#This Row],[State]], [2]!NonNurse[MDScensus])*60</f>
        <v>0.29811555781025839</v>
      </c>
      <c r="AD21" s="101">
        <f>RANK(State112010[[#This Row],[Total MedDir MPRD]],State112010[Total MedDir MPRD])</f>
        <v>18</v>
      </c>
      <c r="AE21" s="102">
        <f>SUMIF([2]!NonNurse[STATE], State112010[[#This Row],[State]], [2]!NonNurse[Hrs_Pharmacist])/SUMIF([2]!NonNurse[STATE], State112010[[#This Row],[State]], [2]!NonNurse[MDScensus])*60</f>
        <v>0.16765835344571123</v>
      </c>
      <c r="AF21" s="101">
        <f>RANK(State112010[[#This Row],[Total Pharmacist MPRD]],State112010[Total Pharmacist MPRD])</f>
        <v>45</v>
      </c>
      <c r="AG21" s="102">
        <f>(SUMIF([2]!NonNurse[STATE], State112010[[#This Row],[State]], [2]!NonNurse[Hrs_SpcLangPath]) + SUMIF([2]!NonNurse[STATE], State112010[[#This Row],[State]], [2]!NonNurse[Hrs_QualSocWrk])) / SUMIF([2]!NonNurse[STATE], State112010[[#This Row],[State]], [2]!NonNurse[MDScensus]) * 60</f>
        <v>4.9063785508621223</v>
      </c>
      <c r="AH21" s="101">
        <f>RANK(State112010[[#This Row],[Total Social Work MPRD]],State112010[Total Social Work MPRD])</f>
        <v>39</v>
      </c>
      <c r="AI21"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9.1647785830128541</v>
      </c>
      <c r="AJ21" s="101">
        <f>RANK(State112010[[#This Row],[Total OT MPRD]],State112010[Total OT MPRD])</f>
        <v>51</v>
      </c>
      <c r="AK21"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10.389856820026973</v>
      </c>
      <c r="AL21" s="101">
        <f>RANK(State112010[[#This Row],[Total PT MPRD]],State112010[Total PT MPRD])</f>
        <v>48</v>
      </c>
      <c r="AM21" s="102">
        <f>(SUMIF([2]!NonNurse[STATE], State112010[[#This Row],[State]], [2]!NonNurse[MPRD: Total Social Work]) + SUMIF([2]!NonNurse[STATE], State112010[[#This Row],[State]], [2]!NonNurse[Hrs_QualActvProf])) / SUMIF([2]!NonNurse[STATE], State112010[[#This Row],[State]], [2]!NonNurse[MDScensus]) * 60</f>
        <v>4.8732176636586395</v>
      </c>
      <c r="AN21" s="109">
        <f>RANK(State112010[[#This Row],[Total Activities MPRD]], State112010[Total Activities MPRD])</f>
        <v>49</v>
      </c>
      <c r="AP21" s="77" t="s">
        <v>140</v>
      </c>
      <c r="AQ21" s="78">
        <f>SUM([2]!NonNurse[Hrs_PT])</f>
        <v>84266.726111110678</v>
      </c>
      <c r="AR21" s="79">
        <f>[2]!Category122114[[#This Row],[US Total Hours]]/SUM([2]!NonNurse[MDScensus])*60</f>
        <v>4.0404123437493276</v>
      </c>
      <c r="AS21" s="80">
        <f>COUNTIF([2]!NonNurse[Hrs_PT], 0)</f>
        <v>787</v>
      </c>
    </row>
    <row r="22" spans="20:45" ht="15" customHeight="1" x14ac:dyDescent="0.2">
      <c r="W22" s="23"/>
      <c r="X22" s="23" t="s">
        <v>72</v>
      </c>
      <c r="Y22" s="16">
        <f>SUMIF([2]!NonNurse[STATE], State112010[[#This Row],[State]], [2]!NonNurse[MDScensus])</f>
        <v>33474.85555555555</v>
      </c>
      <c r="Z22" s="16">
        <f>COUNTIF([2]!NonNurse[STATE], State112010[[#This Row],[State]])</f>
        <v>339</v>
      </c>
      <c r="AA22" s="17">
        <f>SUMIF([2]!NonNurse[STATE], State112010[[#This Row],[State]], [2]!NonNurse[Hrs_Admin])/SUMIF([2]!NonNurse[STATE], State112010[[#This Row],[State]], [2]!NonNurse[MDScensus])*60</f>
        <v>3.1932610778836636</v>
      </c>
      <c r="AB22" s="16">
        <f>RANK(State112010[[#This Row],[Total Admin MPRD]],State112010[Total Admin MPRD])</f>
        <v>43</v>
      </c>
      <c r="AC22" s="17">
        <f>SUMIF([2]!NonNurse[STATE], State112010[[#This Row],[State]], [2]!NonNurse[Hrs_MedDir])/SUMIF([2]!NonNurse[STATE], State112010[[#This Row],[State]], [2]!NonNurse[MDScensus])*60</f>
        <v>0.29253519308190529</v>
      </c>
      <c r="AD22" s="16">
        <f>RANK(State112010[[#This Row],[Total MedDir MPRD]],State112010[Total MedDir MPRD])</f>
        <v>19</v>
      </c>
      <c r="AE22" s="17">
        <f>SUMIF([2]!NonNurse[STATE], State112010[[#This Row],[State]], [2]!NonNurse[Hrs_Pharmacist])/SUMIF([2]!NonNurse[STATE], State112010[[#This Row],[State]], [2]!NonNurse[MDScensus])*60</f>
        <v>0.19915624895236467</v>
      </c>
      <c r="AF22" s="16">
        <f>RANK(State112010[[#This Row],[Total Pharmacist MPRD]],State112010[Total Pharmacist MPRD])</f>
        <v>39</v>
      </c>
      <c r="AG22" s="17">
        <f>(SUMIF([2]!NonNurse[STATE], State112010[[#This Row],[State]], [2]!NonNurse[Hrs_SpcLangPath]) + SUMIF([2]!NonNurse[STATE], State112010[[#This Row],[State]], [2]!NonNurse[Hrs_QualSocWrk])) / SUMIF([2]!NonNurse[STATE], State112010[[#This Row],[State]], [2]!NonNurse[MDScensus]) * 60</f>
        <v>6.0028208237227538</v>
      </c>
      <c r="AH22" s="16">
        <f>RANK(State112010[[#This Row],[Total Social Work MPRD]],State112010[Total Social Work MPRD])</f>
        <v>20</v>
      </c>
      <c r="AI22"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15.79147406343669</v>
      </c>
      <c r="AJ22" s="16">
        <f>RANK(State112010[[#This Row],[Total OT MPRD]],State112010[Total OT MPRD])</f>
        <v>31</v>
      </c>
      <c r="AK22"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12.974295767001992</v>
      </c>
      <c r="AL22" s="16">
        <f>RANK(State112010[[#This Row],[Total PT MPRD]],State112010[Total PT MPRD])</f>
        <v>37</v>
      </c>
      <c r="AM22" s="17">
        <f>(SUMIF([2]!NonNurse[STATE], State112010[[#This Row],[State]], [2]!NonNurse[MPRD: Total Social Work]) + SUMIF([2]!NonNurse[STATE], State112010[[#This Row],[State]], [2]!NonNurse[Hrs_QualActvProf])) / SUMIF([2]!NonNurse[STATE], State112010[[#This Row],[State]], [2]!NonNurse[MDScensus]) * 60</f>
        <v>6.5607094399047314</v>
      </c>
      <c r="AN22" s="36">
        <f>RANK(State112010[[#This Row],[Total Activities MPRD]], State112010[Total Activities MPRD])</f>
        <v>36</v>
      </c>
      <c r="AP22" s="81" t="s">
        <v>141</v>
      </c>
      <c r="AQ22" s="82">
        <f>SUM([2]!NonNurse[Hrs_PTasst])</f>
        <v>105070.05966666644</v>
      </c>
      <c r="AR22" s="83">
        <f>[2]!Category122114[[#This Row],[US Total Hours]]/SUM([2]!NonNurse[MDScensus])*60</f>
        <v>5.0378884481155026</v>
      </c>
      <c r="AS22" s="91">
        <f>COUNTIF([2]!NonNurse[Hrs_PTasst], 0)</f>
        <v>1709</v>
      </c>
    </row>
    <row r="23" spans="20:45" ht="15" customHeight="1" x14ac:dyDescent="0.2">
      <c r="W23" s="23"/>
      <c r="X23" s="108" t="s">
        <v>74</v>
      </c>
      <c r="Y23" s="101">
        <f>SUMIF([2]!NonNurse[STATE], State112010[[#This Row],[State]], [2]!NonNurse[MDScensus])</f>
        <v>23256.577777777769</v>
      </c>
      <c r="Z23" s="101">
        <f>COUNTIF([2]!NonNurse[STATE], State112010[[#This Row],[State]])</f>
        <v>219</v>
      </c>
      <c r="AA23" s="102">
        <f>SUMIF([2]!NonNurse[STATE], State112010[[#This Row],[State]], [2]!NonNurse[Hrs_Admin])/SUMIF([2]!NonNurse[STATE], State112010[[#This Row],[State]], [2]!NonNurse[MDScensus])*60</f>
        <v>2.9804597217895834</v>
      </c>
      <c r="AB23" s="101">
        <f>RANK(State112010[[#This Row],[Total Admin MPRD]],State112010[Total Admin MPRD])</f>
        <v>47</v>
      </c>
      <c r="AC23" s="102">
        <f>SUMIF([2]!NonNurse[STATE], State112010[[#This Row],[State]], [2]!NonNurse[Hrs_MedDir])/SUMIF([2]!NonNurse[STATE], State112010[[#This Row],[State]], [2]!NonNurse[MDScensus])*60</f>
        <v>0.27964074202185102</v>
      </c>
      <c r="AD23" s="101">
        <f>RANK(State112010[[#This Row],[Total MedDir MPRD]],State112010[Total MedDir MPRD])</f>
        <v>22</v>
      </c>
      <c r="AE23" s="102">
        <f>SUMIF([2]!NonNurse[STATE], State112010[[#This Row],[State]], [2]!NonNurse[Hrs_Pharmacist])/SUMIF([2]!NonNurse[STATE], State112010[[#This Row],[State]], [2]!NonNurse[MDScensus])*60</f>
        <v>0.14503939626160733</v>
      </c>
      <c r="AF23" s="101">
        <f>RANK(State112010[[#This Row],[Total Pharmacist MPRD]],State112010[Total Pharmacist MPRD])</f>
        <v>48</v>
      </c>
      <c r="AG23" s="102">
        <f>(SUMIF([2]!NonNurse[STATE], State112010[[#This Row],[State]], [2]!NonNurse[Hrs_SpcLangPath]) + SUMIF([2]!NonNurse[STATE], State112010[[#This Row],[State]], [2]!NonNurse[Hrs_QualSocWrk])) / SUMIF([2]!NonNurse[STATE], State112010[[#This Row],[State]], [2]!NonNurse[MDScensus]) * 60</f>
        <v>5.5169627517567372</v>
      </c>
      <c r="AH23" s="101">
        <f>RANK(State112010[[#This Row],[Total Social Work MPRD]],State112010[Total Social Work MPRD])</f>
        <v>27</v>
      </c>
      <c r="AI23"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15.256847565416585</v>
      </c>
      <c r="AJ23" s="101">
        <f>RANK(State112010[[#This Row],[Total OT MPRD]],State112010[Total OT MPRD])</f>
        <v>34</v>
      </c>
      <c r="AK23"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14.506965523740087</v>
      </c>
      <c r="AL23" s="101">
        <f>RANK(State112010[[#This Row],[Total PT MPRD]],State112010[Total PT MPRD])</f>
        <v>26</v>
      </c>
      <c r="AM23" s="102">
        <f>(SUMIF([2]!NonNurse[STATE], State112010[[#This Row],[State]], [2]!NonNurse[MPRD: Total Social Work]) + SUMIF([2]!NonNurse[STATE], State112010[[#This Row],[State]], [2]!NonNurse[Hrs_QualActvProf])) / SUMIF([2]!NonNurse[STATE], State112010[[#This Row],[State]], [2]!NonNurse[MDScensus]) * 60</f>
        <v>6.0964371462849307</v>
      </c>
      <c r="AN23" s="109">
        <f>RANK(State112010[[#This Row],[Total Activities MPRD]], State112010[Total Activities MPRD])</f>
        <v>40</v>
      </c>
      <c r="AP23" s="77" t="s">
        <v>142</v>
      </c>
      <c r="AQ23" s="93">
        <f>SUM([2]!NonNurse[Hrs_PTaide])</f>
        <v>8331.8256666666675</v>
      </c>
      <c r="AR23" s="79">
        <f>[2]!Category122114[[#This Row],[US Total Hours]]/SUM([2]!NonNurse[MDScensus])*60</f>
        <v>0.39949352280732348</v>
      </c>
      <c r="AS23" s="80">
        <f>COUNTIF([2]!NonNurse[Hrs_PTaide], 0)</f>
        <v>12865</v>
      </c>
    </row>
    <row r="24" spans="20:45" ht="15" customHeight="1" x14ac:dyDescent="0.2">
      <c r="W24" s="23"/>
      <c r="X24" s="23" t="s">
        <v>76</v>
      </c>
      <c r="Y24" s="16">
        <f>SUMIF([2]!NonNurse[STATE], State112010[[#This Row],[State]], [2]!NonNurse[MDScensus])</f>
        <v>5089.0555555555575</v>
      </c>
      <c r="Z24" s="16">
        <f>COUNTIF([2]!NonNurse[STATE], State112010[[#This Row],[State]])</f>
        <v>78</v>
      </c>
      <c r="AA24" s="17">
        <f>SUMIF([2]!NonNurse[STATE], State112010[[#This Row],[State]], [2]!NonNurse[Hrs_Admin])/SUMIF([2]!NonNurse[STATE], State112010[[#This Row],[State]], [2]!NonNurse[MDScensus])*60</f>
        <v>4.5627483816032228</v>
      </c>
      <c r="AB24" s="16">
        <f>RANK(State112010[[#This Row],[Total Admin MPRD]],State112010[Total Admin MPRD])</f>
        <v>16</v>
      </c>
      <c r="AC24" s="17">
        <f>SUMIF([2]!NonNurse[STATE], State112010[[#This Row],[State]], [2]!NonNurse[Hrs_MedDir])/SUMIF([2]!NonNurse[STATE], State112010[[#This Row],[State]], [2]!NonNurse[MDScensus])*60</f>
        <v>0.38669912557448977</v>
      </c>
      <c r="AD24" s="16">
        <f>RANK(State112010[[#This Row],[Total MedDir MPRD]],State112010[Total MedDir MPRD])</f>
        <v>8</v>
      </c>
      <c r="AE24" s="17">
        <f>SUMIF([2]!NonNurse[STATE], State112010[[#This Row],[State]], [2]!NonNurse[Hrs_Pharmacist])/SUMIF([2]!NonNurse[STATE], State112010[[#This Row],[State]], [2]!NonNurse[MDScensus])*60</f>
        <v>0.37116251651146775</v>
      </c>
      <c r="AF24" s="16">
        <f>RANK(State112010[[#This Row],[Total Pharmacist MPRD]],State112010[Total Pharmacist MPRD])</f>
        <v>10</v>
      </c>
      <c r="AG24" s="17">
        <f>(SUMIF([2]!NonNurse[STATE], State112010[[#This Row],[State]], [2]!NonNurse[Hrs_SpcLangPath]) + SUMIF([2]!NonNurse[STATE], State112010[[#This Row],[State]], [2]!NonNurse[Hrs_QualSocWrk])) / SUMIF([2]!NonNurse[STATE], State112010[[#This Row],[State]], [2]!NonNurse[MDScensus]) * 60</f>
        <v>7.6451683896815572</v>
      </c>
      <c r="AH24" s="16">
        <f>RANK(State112010[[#This Row],[Total Social Work MPRD]],State112010[Total Social Work MPRD])</f>
        <v>4</v>
      </c>
      <c r="AI24"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18.375679244710284</v>
      </c>
      <c r="AJ24" s="16">
        <f>RANK(State112010[[#This Row],[Total OT MPRD]],State112010[Total OT MPRD])</f>
        <v>16</v>
      </c>
      <c r="AK24"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15.319403276803156</v>
      </c>
      <c r="AL24" s="16">
        <f>RANK(State112010[[#This Row],[Total PT MPRD]],State112010[Total PT MPRD])</f>
        <v>22</v>
      </c>
      <c r="AM24" s="17">
        <f>(SUMIF([2]!NonNurse[STATE], State112010[[#This Row],[State]], [2]!NonNurse[MPRD: Total Social Work]) + SUMIF([2]!NonNurse[STATE], State112010[[#This Row],[State]], [2]!NonNurse[Hrs_QualActvProf])) / SUMIF([2]!NonNurse[STATE], State112010[[#This Row],[State]], [2]!NonNurse[MDScensus]) * 60</f>
        <v>9.6088024161653287</v>
      </c>
      <c r="AN24" s="36">
        <f>RANK(State112010[[#This Row],[Total Activities MPRD]], State112010[Total Activities MPRD])</f>
        <v>16</v>
      </c>
      <c r="AP24" s="81" t="s">
        <v>143</v>
      </c>
      <c r="AQ24" s="95">
        <f>SUM([2]!NonNurse[Hrs_MHSvc])</f>
        <v>6028.9736666666622</v>
      </c>
      <c r="AR24" s="83">
        <f>[2]!Category122114[[#This Row],[US Total Hours]]/SUM([2]!NonNurse[MDScensus])*60</f>
        <v>0.28907661122161232</v>
      </c>
      <c r="AS24" s="91">
        <f>COUNTIF([2]!NonNurse[Hrs_MHSvc], 0)</f>
        <v>13740</v>
      </c>
    </row>
    <row r="25" spans="20:45" ht="15" customHeight="1" x14ac:dyDescent="0.2">
      <c r="W25" s="23"/>
      <c r="X25" s="108" t="s">
        <v>78</v>
      </c>
      <c r="Y25" s="101">
        <f>SUMIF([2]!NonNurse[STATE], State112010[[#This Row],[State]], [2]!NonNurse[MDScensus])</f>
        <v>36011.077777777769</v>
      </c>
      <c r="Z25" s="101">
        <f>COUNTIF([2]!NonNurse[STATE], State112010[[#This Row],[State]])</f>
        <v>418</v>
      </c>
      <c r="AA25" s="102">
        <f>SUMIF([2]!NonNurse[STATE], State112010[[#This Row],[State]], [2]!NonNurse[Hrs_Admin])/SUMIF([2]!NonNurse[STATE], State112010[[#This Row],[State]], [2]!NonNurse[MDScensus])*60</f>
        <v>3.657252567651248</v>
      </c>
      <c r="AB25" s="101">
        <f>RANK(State112010[[#This Row],[Total Admin MPRD]],State112010[Total Admin MPRD])</f>
        <v>35</v>
      </c>
      <c r="AC25" s="102">
        <f>SUMIF([2]!NonNurse[STATE], State112010[[#This Row],[State]], [2]!NonNurse[Hrs_MedDir])/SUMIF([2]!NonNurse[STATE], State112010[[#This Row],[State]], [2]!NonNurse[MDScensus])*60</f>
        <v>0.23902922464908166</v>
      </c>
      <c r="AD25" s="101">
        <f>RANK(State112010[[#This Row],[Total MedDir MPRD]],State112010[Total MedDir MPRD])</f>
        <v>32</v>
      </c>
      <c r="AE25" s="102">
        <f>SUMIF([2]!NonNurse[STATE], State112010[[#This Row],[State]], [2]!NonNurse[Hrs_Pharmacist])/SUMIF([2]!NonNurse[STATE], State112010[[#This Row],[State]], [2]!NonNurse[MDScensus])*60</f>
        <v>0.30002360384782817</v>
      </c>
      <c r="AF25" s="101">
        <f>RANK(State112010[[#This Row],[Total Pharmacist MPRD]],State112010[Total Pharmacist MPRD])</f>
        <v>21</v>
      </c>
      <c r="AG25" s="102">
        <f>(SUMIF([2]!NonNurse[STATE], State112010[[#This Row],[State]], [2]!NonNurse[Hrs_SpcLangPath]) + SUMIF([2]!NonNurse[STATE], State112010[[#This Row],[State]], [2]!NonNurse[Hrs_QualSocWrk])) / SUMIF([2]!NonNurse[STATE], State112010[[#This Row],[State]], [2]!NonNurse[MDScensus]) * 60</f>
        <v>5.1449249721613457</v>
      </c>
      <c r="AH25" s="101">
        <f>RANK(State112010[[#This Row],[Total Social Work MPRD]],State112010[Total Social Work MPRD])</f>
        <v>33</v>
      </c>
      <c r="AI25"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19.080092046428927</v>
      </c>
      <c r="AJ25" s="101">
        <f>RANK(State112010[[#This Row],[Total OT MPRD]],State112010[Total OT MPRD])</f>
        <v>14</v>
      </c>
      <c r="AK25"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15.875138950111996</v>
      </c>
      <c r="AL25" s="101">
        <f>RANK(State112010[[#This Row],[Total PT MPRD]],State112010[Total PT MPRD])</f>
        <v>18</v>
      </c>
      <c r="AM25" s="102">
        <f>(SUMIF([2]!NonNurse[STATE], State112010[[#This Row],[State]], [2]!NonNurse[MPRD: Total Social Work]) + SUMIF([2]!NonNurse[STATE], State112010[[#This Row],[State]], [2]!NonNurse[Hrs_QualActvProf])) / SUMIF([2]!NonNurse[STATE], State112010[[#This Row],[State]], [2]!NonNurse[MDScensus]) * 60</f>
        <v>6.7504740772314964</v>
      </c>
      <c r="AN25" s="109">
        <f>RANK(State112010[[#This Row],[Total Activities MPRD]], State112010[Total Activities MPRD])</f>
        <v>34</v>
      </c>
      <c r="AP25" s="77" t="s">
        <v>144</v>
      </c>
      <c r="AQ25" s="93">
        <f>SUM([2]!NonNurse[Hrs_TherRecSpec])</f>
        <v>6132.8605555555559</v>
      </c>
      <c r="AR25" s="79">
        <f>[2]!Category122114[[#This Row],[US Total Hours]]/SUM([2]!NonNurse[MDScensus])*60</f>
        <v>0.29405776911858511</v>
      </c>
      <c r="AS25" s="80">
        <f>COUNTIF([2]!NonNurse[Hrs_TherRecSpec], 0)</f>
        <v>13599</v>
      </c>
    </row>
    <row r="26" spans="20:45" ht="15" customHeight="1" x14ac:dyDescent="0.2">
      <c r="W26" s="23"/>
      <c r="X26" s="23" t="s">
        <v>80</v>
      </c>
      <c r="Y26" s="16">
        <f>SUMIF([2]!NonNurse[STATE], State112010[[#This Row],[State]], [2]!NonNurse[MDScensus])</f>
        <v>20284.066666666666</v>
      </c>
      <c r="Z26" s="16">
        <f>COUNTIF([2]!NonNurse[STATE], State112010[[#This Row],[State]])</f>
        <v>335</v>
      </c>
      <c r="AA26" s="17">
        <f>SUMIF([2]!NonNurse[STATE], State112010[[#This Row],[State]], [2]!NonNurse[Hrs_Admin])/SUMIF([2]!NonNurse[STATE], State112010[[#This Row],[State]], [2]!NonNurse[MDScensus])*60</f>
        <v>4.9351829514791579</v>
      </c>
      <c r="AB26" s="16">
        <f>RANK(State112010[[#This Row],[Total Admin MPRD]],State112010[Total Admin MPRD])</f>
        <v>12</v>
      </c>
      <c r="AC26" s="17">
        <f>SUMIF([2]!NonNurse[STATE], State112010[[#This Row],[State]], [2]!NonNurse[Hrs_MedDir])/SUMIF([2]!NonNurse[STATE], State112010[[#This Row],[State]], [2]!NonNurse[MDScensus])*60</f>
        <v>0.1559989614179931</v>
      </c>
      <c r="AD26" s="16">
        <f>RANK(State112010[[#This Row],[Total MedDir MPRD]],State112010[Total MedDir MPRD])</f>
        <v>49</v>
      </c>
      <c r="AE26" s="17">
        <f>SUMIF([2]!NonNurse[STATE], State112010[[#This Row],[State]], [2]!NonNurse[Hrs_Pharmacist])/SUMIF([2]!NonNurse[STATE], State112010[[#This Row],[State]], [2]!NonNurse[MDScensus])*60</f>
        <v>0.33047580859853865</v>
      </c>
      <c r="AF26" s="16">
        <f>RANK(State112010[[#This Row],[Total Pharmacist MPRD]],State112010[Total Pharmacist MPRD])</f>
        <v>13</v>
      </c>
      <c r="AG26" s="17">
        <f>(SUMIF([2]!NonNurse[STATE], State112010[[#This Row],[State]], [2]!NonNurse[Hrs_SpcLangPath]) + SUMIF([2]!NonNurse[STATE], State112010[[#This Row],[State]], [2]!NonNurse[Hrs_QualSocWrk])) / SUMIF([2]!NonNurse[STATE], State112010[[#This Row],[State]], [2]!NonNurse[MDScensus]) * 60</f>
        <v>5.3589451161995783</v>
      </c>
      <c r="AH26" s="16">
        <f>RANK(State112010[[#This Row],[Total Social Work MPRD]],State112010[Total Social Work MPRD])</f>
        <v>30</v>
      </c>
      <c r="AI26"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23.65904069424943</v>
      </c>
      <c r="AJ26" s="16">
        <f>RANK(State112010[[#This Row],[Total OT MPRD]],State112010[Total OT MPRD])</f>
        <v>2</v>
      </c>
      <c r="AK26"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16.818608265073891</v>
      </c>
      <c r="AL26" s="16">
        <f>RANK(State112010[[#This Row],[Total PT MPRD]],State112010[Total PT MPRD])</f>
        <v>16</v>
      </c>
      <c r="AM26" s="17">
        <f>(SUMIF([2]!NonNurse[STATE], State112010[[#This Row],[State]], [2]!NonNurse[MPRD: Total Social Work]) + SUMIF([2]!NonNurse[STATE], State112010[[#This Row],[State]], [2]!NonNurse[Hrs_QualActvProf])) / SUMIF([2]!NonNurse[STATE], State112010[[#This Row],[State]], [2]!NonNurse[MDScensus]) * 60</f>
        <v>11.463390785149038</v>
      </c>
      <c r="AN26" s="36">
        <f>RANK(State112010[[#This Row],[Total Activities MPRD]], State112010[Total Activities MPRD])</f>
        <v>10</v>
      </c>
      <c r="AP26" s="81" t="s">
        <v>145</v>
      </c>
      <c r="AQ26" s="95">
        <f>SUM([2]!NonNurse[Hrs_ClinNrsSpec])</f>
        <v>610.83922222222202</v>
      </c>
      <c r="AR26" s="83">
        <f>[2]!Category122114[[#This Row],[US Total Hours]]/SUM([2]!NonNurse[MDScensus])*60</f>
        <v>2.9288456398064457E-2</v>
      </c>
      <c r="AS26" s="91">
        <f>COUNTIF([2]!NonNurse[Hrs_ClinNrsSpec], 0)</f>
        <v>14305</v>
      </c>
    </row>
    <row r="27" spans="20:45" ht="15" customHeight="1" x14ac:dyDescent="0.2">
      <c r="W27" s="23"/>
      <c r="X27" s="108" t="s">
        <v>82</v>
      </c>
      <c r="Y27" s="101">
        <f>SUMIF([2]!NonNurse[STATE], State112010[[#This Row],[State]], [2]!NonNurse[MDScensus])</f>
        <v>34951.055555555526</v>
      </c>
      <c r="Z27" s="101">
        <f>COUNTIF([2]!NonNurse[STATE], State112010[[#This Row],[State]])</f>
        <v>476</v>
      </c>
      <c r="AA27" s="102">
        <f>SUMIF([2]!NonNurse[STATE], State112010[[#This Row],[State]], [2]!NonNurse[Hrs_Admin])/SUMIF([2]!NonNurse[STATE], State112010[[#This Row],[State]], [2]!NonNurse[MDScensus])*60</f>
        <v>4.7980347756147861</v>
      </c>
      <c r="AB27" s="101">
        <f>RANK(State112010[[#This Row],[Total Admin MPRD]],State112010[Total Admin MPRD])</f>
        <v>13</v>
      </c>
      <c r="AC27" s="102">
        <f>SUMIF([2]!NonNurse[STATE], State112010[[#This Row],[State]], [2]!NonNurse[Hrs_MedDir])/SUMIF([2]!NonNurse[STATE], State112010[[#This Row],[State]], [2]!NonNurse[MDScensus])*60</f>
        <v>0.19773041348298184</v>
      </c>
      <c r="AD27" s="101">
        <f>RANK(State112010[[#This Row],[Total MedDir MPRD]],State112010[Total MedDir MPRD])</f>
        <v>42</v>
      </c>
      <c r="AE27" s="102">
        <f>SUMIF([2]!NonNurse[STATE], State112010[[#This Row],[State]], [2]!NonNurse[Hrs_Pharmacist])/SUMIF([2]!NonNurse[STATE], State112010[[#This Row],[State]], [2]!NonNurse[MDScensus])*60</f>
        <v>0.21980051468800038</v>
      </c>
      <c r="AF27" s="101">
        <f>RANK(State112010[[#This Row],[Total Pharmacist MPRD]],State112010[Total Pharmacist MPRD])</f>
        <v>37</v>
      </c>
      <c r="AG27" s="102">
        <f>(SUMIF([2]!NonNurse[STATE], State112010[[#This Row],[State]], [2]!NonNurse[Hrs_SpcLangPath]) + SUMIF([2]!NonNurse[STATE], State112010[[#This Row],[State]], [2]!NonNurse[Hrs_QualSocWrk])) / SUMIF([2]!NonNurse[STATE], State112010[[#This Row],[State]], [2]!NonNurse[MDScensus]) * 60</f>
        <v>4.2476298442742948</v>
      </c>
      <c r="AH27" s="101">
        <f>RANK(State112010[[#This Row],[Total Social Work MPRD]],State112010[Total Social Work MPRD])</f>
        <v>48</v>
      </c>
      <c r="AI27"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11.574962086772446</v>
      </c>
      <c r="AJ27" s="101">
        <f>RANK(State112010[[#This Row],[Total OT MPRD]],State112010[Total OT MPRD])</f>
        <v>47</v>
      </c>
      <c r="AK27"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10.601808695634178</v>
      </c>
      <c r="AL27" s="101">
        <f>RANK(State112010[[#This Row],[Total PT MPRD]],State112010[Total PT MPRD])</f>
        <v>45</v>
      </c>
      <c r="AM27" s="102">
        <f>(SUMIF([2]!NonNurse[STATE], State112010[[#This Row],[State]], [2]!NonNurse[MPRD: Total Social Work]) + SUMIF([2]!NonNurse[STATE], State112010[[#This Row],[State]], [2]!NonNurse[Hrs_QualActvProf])) / SUMIF([2]!NonNurse[STATE], State112010[[#This Row],[State]], [2]!NonNurse[MDScensus]) * 60</f>
        <v>7.0619410453284139</v>
      </c>
      <c r="AN27" s="109">
        <f>RANK(State112010[[#This Row],[Total Activities MPRD]], State112010[Total Activities MPRD])</f>
        <v>30</v>
      </c>
      <c r="AP27" s="77" t="s">
        <v>146</v>
      </c>
      <c r="AQ27" s="93">
        <f>SUM([2]!NonNurse[Hrs_FeedAsst])</f>
        <v>31092.492222222234</v>
      </c>
      <c r="AR27" s="79">
        <f>[2]!Category122114[[#This Row],[US Total Hours]]/SUM([2]!NonNurse[MDScensus])*60</f>
        <v>1.4908196291730937</v>
      </c>
      <c r="AS27" s="80">
        <f>COUNTIF([2]!NonNurse[Hrs_FeedAsst], 0)</f>
        <v>13594</v>
      </c>
    </row>
    <row r="28" spans="20:45" ht="15" customHeight="1" x14ac:dyDescent="0.2">
      <c r="W28" s="23"/>
      <c r="X28" s="23" t="s">
        <v>84</v>
      </c>
      <c r="Y28" s="16">
        <f>SUMIF([2]!NonNurse[STATE], State112010[[#This Row],[State]], [2]!NonNurse[MDScensus])</f>
        <v>14708.877777777787</v>
      </c>
      <c r="Z28" s="16">
        <f>COUNTIF([2]!NonNurse[STATE], State112010[[#This Row],[State]])</f>
        <v>198</v>
      </c>
      <c r="AA28" s="17">
        <f>SUMIF([2]!NonNurse[STATE], State112010[[#This Row],[State]], [2]!NonNurse[Hrs_Admin])/SUMIF([2]!NonNurse[STATE], State112010[[#This Row],[State]], [2]!NonNurse[MDScensus])*60</f>
        <v>4.6300663469303061</v>
      </c>
      <c r="AB28" s="16">
        <f>RANK(State112010[[#This Row],[Total Admin MPRD]],State112010[Total Admin MPRD])</f>
        <v>14</v>
      </c>
      <c r="AC28" s="17">
        <f>SUMIF([2]!NonNurse[STATE], State112010[[#This Row],[State]], [2]!NonNurse[Hrs_MedDir])/SUMIF([2]!NonNurse[STATE], State112010[[#This Row],[State]], [2]!NonNurse[MDScensus])*60</f>
        <v>0.32834320013838919</v>
      </c>
      <c r="AD28" s="16">
        <f>RANK(State112010[[#This Row],[Total MedDir MPRD]],State112010[Total MedDir MPRD])</f>
        <v>13</v>
      </c>
      <c r="AE28" s="17">
        <f>SUMIF([2]!NonNurse[STATE], State112010[[#This Row],[State]], [2]!NonNurse[Hrs_Pharmacist])/SUMIF([2]!NonNurse[STATE], State112010[[#This Row],[State]], [2]!NonNurse[MDScensus])*60</f>
        <v>0.26770136553963225</v>
      </c>
      <c r="AF28" s="16">
        <f>RANK(State112010[[#This Row],[Total Pharmacist MPRD]],State112010[Total Pharmacist MPRD])</f>
        <v>28</v>
      </c>
      <c r="AG28" s="17">
        <f>(SUMIF([2]!NonNurse[STATE], State112010[[#This Row],[State]], [2]!NonNurse[Hrs_SpcLangPath]) + SUMIF([2]!NonNurse[STATE], State112010[[#This Row],[State]], [2]!NonNurse[Hrs_QualSocWrk])) / SUMIF([2]!NonNurse[STATE], State112010[[#This Row],[State]], [2]!NonNurse[MDScensus]) * 60</f>
        <v>6.3470851692741812</v>
      </c>
      <c r="AH28" s="16">
        <f>RANK(State112010[[#This Row],[Total Social Work MPRD]],State112010[Total Social Work MPRD])</f>
        <v>13</v>
      </c>
      <c r="AI28"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11.788886810390274</v>
      </c>
      <c r="AJ28" s="16">
        <f>RANK(State112010[[#This Row],[Total OT MPRD]],State112010[Total OT MPRD])</f>
        <v>46</v>
      </c>
      <c r="AK28"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12.572101467481579</v>
      </c>
      <c r="AL28" s="16">
        <f>RANK(State112010[[#This Row],[Total PT MPRD]],State112010[Total PT MPRD])</f>
        <v>39</v>
      </c>
      <c r="AM28" s="17">
        <f>(SUMIF([2]!NonNurse[STATE], State112010[[#This Row],[State]], [2]!NonNurse[MPRD: Total Social Work]) + SUMIF([2]!NonNurse[STATE], State112010[[#This Row],[State]], [2]!NonNurse[Hrs_QualActvProf])) / SUMIF([2]!NonNurse[STATE], State112010[[#This Row],[State]], [2]!NonNurse[MDScensus]) * 60</f>
        <v>6.9066310763096208</v>
      </c>
      <c r="AN28" s="36">
        <f>RANK(State112010[[#This Row],[Total Activities MPRD]], State112010[Total Activities MPRD])</f>
        <v>32</v>
      </c>
      <c r="AO28" s="17"/>
      <c r="AP28" s="81" t="s">
        <v>147</v>
      </c>
      <c r="AQ28" s="82">
        <f>SUM([2]!NonNurse[Hrs_RespTher])</f>
        <v>28495.288555555453</v>
      </c>
      <c r="AR28" s="83">
        <f>[2]!Category122114[[#This Row],[US Total Hours]]/SUM([2]!NonNurse[MDScensus])*60</f>
        <v>1.3662891740537766</v>
      </c>
      <c r="AS28" s="91">
        <f>COUNTIF([2]!NonNurse[Hrs_RespTher], 0)</f>
        <v>12601</v>
      </c>
    </row>
    <row r="29" spans="20:45" ht="15" customHeight="1" x14ac:dyDescent="0.2">
      <c r="W29" s="23"/>
      <c r="X29" s="108" t="s">
        <v>85</v>
      </c>
      <c r="Y29" s="101">
        <f>SUMIF([2]!NonNurse[STATE], State112010[[#This Row],[State]], [2]!NonNurse[MDScensus])</f>
        <v>3399.4777777777763</v>
      </c>
      <c r="Z29" s="101">
        <f>COUNTIF([2]!NonNurse[STATE], State112010[[#This Row],[State]])</f>
        <v>60</v>
      </c>
      <c r="AA29" s="102">
        <f>SUMIF([2]!NonNurse[STATE], State112010[[#This Row],[State]], [2]!NonNurse[Hrs_Admin])/SUMIF([2]!NonNurse[STATE], State112010[[#This Row],[State]], [2]!NonNurse[MDScensus])*60</f>
        <v>4.6281657640225786</v>
      </c>
      <c r="AB29" s="101">
        <f>RANK(State112010[[#This Row],[Total Admin MPRD]],State112010[Total Admin MPRD])</f>
        <v>15</v>
      </c>
      <c r="AC29" s="102">
        <f>SUMIF([2]!NonNurse[STATE], State112010[[#This Row],[State]], [2]!NonNurse[Hrs_MedDir])/SUMIF([2]!NonNurse[STATE], State112010[[#This Row],[State]], [2]!NonNurse[MDScensus])*60</f>
        <v>0.301448261661105</v>
      </c>
      <c r="AD29" s="101">
        <f>RANK(State112010[[#This Row],[Total MedDir MPRD]],State112010[Total MedDir MPRD])</f>
        <v>15</v>
      </c>
      <c r="AE29" s="102">
        <f>SUMIF([2]!NonNurse[STATE], State112010[[#This Row],[State]], [2]!NonNurse[Hrs_Pharmacist])/SUMIF([2]!NonNurse[STATE], State112010[[#This Row],[State]], [2]!NonNurse[MDScensus])*60</f>
        <v>0.65565560723379113</v>
      </c>
      <c r="AF29" s="101">
        <f>RANK(State112010[[#This Row],[Total Pharmacist MPRD]],State112010[Total Pharmacist MPRD])</f>
        <v>3</v>
      </c>
      <c r="AG29" s="102">
        <f>(SUMIF([2]!NonNurse[STATE], State112010[[#This Row],[State]], [2]!NonNurse[Hrs_SpcLangPath]) + SUMIF([2]!NonNurse[STATE], State112010[[#This Row],[State]], [2]!NonNurse[Hrs_QualSocWrk])) / SUMIF([2]!NonNurse[STATE], State112010[[#This Row],[State]], [2]!NonNurse[MDScensus]) * 60</f>
        <v>5.7996260863596705</v>
      </c>
      <c r="AH29" s="101">
        <f>RANK(State112010[[#This Row],[Total Social Work MPRD]],State112010[Total Social Work MPRD])</f>
        <v>22</v>
      </c>
      <c r="AI29"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19.472306093515346</v>
      </c>
      <c r="AJ29" s="101">
        <f>RANK(State112010[[#This Row],[Total OT MPRD]],State112010[Total OT MPRD])</f>
        <v>12</v>
      </c>
      <c r="AK29"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13.627114691615132</v>
      </c>
      <c r="AL29" s="101">
        <f>RANK(State112010[[#This Row],[Total PT MPRD]],State112010[Total PT MPRD])</f>
        <v>34</v>
      </c>
      <c r="AM29" s="102">
        <f>(SUMIF([2]!NonNurse[STATE], State112010[[#This Row],[State]], [2]!NonNurse[MPRD: Total Social Work]) + SUMIF([2]!NonNurse[STATE], State112010[[#This Row],[State]], [2]!NonNurse[Hrs_QualActvProf])) / SUMIF([2]!NonNurse[STATE], State112010[[#This Row],[State]], [2]!NonNurse[MDScensus]) * 60</f>
        <v>10.211474583675484</v>
      </c>
      <c r="AN29" s="109">
        <f>RANK(State112010[[#This Row],[Total Activities MPRD]], State112010[Total Activities MPRD])</f>
        <v>14</v>
      </c>
      <c r="AO29" s="17"/>
      <c r="AP29" s="77" t="s">
        <v>148</v>
      </c>
      <c r="AQ29" s="78">
        <f>SUM([2]!NonNurse[Hrs_RespTech])</f>
        <v>1231.2695555555558</v>
      </c>
      <c r="AR29" s="79">
        <f>[2]!Category122114[[#This Row],[US Total Hours]]/SUM([2]!NonNurse[MDScensus])*60</f>
        <v>5.9036786408312572E-2</v>
      </c>
      <c r="AS29" s="80">
        <f>COUNTIF([2]!NonNurse[Hrs_RespTech], 0)</f>
        <v>14392</v>
      </c>
    </row>
    <row r="30" spans="20:45" ht="15" customHeight="1" x14ac:dyDescent="0.2">
      <c r="W30" s="23"/>
      <c r="X30" s="23" t="s">
        <v>86</v>
      </c>
      <c r="Y30" s="16">
        <f>SUMIF([2]!NonNurse[STATE], State112010[[#This Row],[State]], [2]!NonNurse[MDScensus])</f>
        <v>35901.266666666656</v>
      </c>
      <c r="Z30" s="16">
        <f>COUNTIF([2]!NonNurse[STATE], State112010[[#This Row],[State]])</f>
        <v>408</v>
      </c>
      <c r="AA30" s="17">
        <f>SUMIF([2]!NonNurse[STATE], State112010[[#This Row],[State]], [2]!NonNurse[Hrs_Admin])/SUMIF([2]!NonNurse[STATE], State112010[[#This Row],[State]], [2]!NonNurse[MDScensus])*60</f>
        <v>3.7414349354433165</v>
      </c>
      <c r="AB30" s="16">
        <f>RANK(State112010[[#This Row],[Total Admin MPRD]],State112010[Total Admin MPRD])</f>
        <v>33</v>
      </c>
      <c r="AC30" s="17">
        <f>SUMIF([2]!NonNurse[STATE], State112010[[#This Row],[State]], [2]!NonNurse[Hrs_MedDir])/SUMIF([2]!NonNurse[STATE], State112010[[#This Row],[State]], [2]!NonNurse[MDScensus])*60</f>
        <v>0.29886577818052867</v>
      </c>
      <c r="AD30" s="16">
        <f>RANK(State112010[[#This Row],[Total MedDir MPRD]],State112010[Total MedDir MPRD])</f>
        <v>17</v>
      </c>
      <c r="AE30" s="17">
        <f>SUMIF([2]!NonNurse[STATE], State112010[[#This Row],[State]], [2]!NonNurse[Hrs_Pharmacist])/SUMIF([2]!NonNurse[STATE], State112010[[#This Row],[State]], [2]!NonNurse[MDScensus])*60</f>
        <v>0.32308386519324306</v>
      </c>
      <c r="AF30" s="16">
        <f>RANK(State112010[[#This Row],[Total Pharmacist MPRD]],State112010[Total Pharmacist MPRD])</f>
        <v>15</v>
      </c>
      <c r="AG30" s="17">
        <f>(SUMIF([2]!NonNurse[STATE], State112010[[#This Row],[State]], [2]!NonNurse[Hrs_SpcLangPath]) + SUMIF([2]!NonNurse[STATE], State112010[[#This Row],[State]], [2]!NonNurse[Hrs_QualSocWrk])) / SUMIF([2]!NonNurse[STATE], State112010[[#This Row],[State]], [2]!NonNurse[MDScensus]) * 60</f>
        <v>6.5067577931326523</v>
      </c>
      <c r="AH30" s="16">
        <f>RANK(State112010[[#This Row],[Total Social Work MPRD]],State112010[Total Social Work MPRD])</f>
        <v>11</v>
      </c>
      <c r="AI30"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14.456435924986163</v>
      </c>
      <c r="AJ30" s="16">
        <f>RANK(State112010[[#This Row],[Total OT MPRD]],State112010[Total OT MPRD])</f>
        <v>38</v>
      </c>
      <c r="AK30"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16.827124519445135</v>
      </c>
      <c r="AL30" s="16">
        <f>RANK(State112010[[#This Row],[Total PT MPRD]],State112010[Total PT MPRD])</f>
        <v>15</v>
      </c>
      <c r="AM30" s="17">
        <f>(SUMIF([2]!NonNurse[STATE], State112010[[#This Row],[State]], [2]!NonNurse[MPRD: Total Social Work]) + SUMIF([2]!NonNurse[STATE], State112010[[#This Row],[State]], [2]!NonNurse[Hrs_QualActvProf])) / SUMIF([2]!NonNurse[STATE], State112010[[#This Row],[State]], [2]!NonNurse[MDScensus]) * 60</f>
        <v>6.5722940321378456</v>
      </c>
      <c r="AN30" s="36">
        <f>RANK(State112010[[#This Row],[Total Activities MPRD]], State112010[Total Activities MPRD])</f>
        <v>35</v>
      </c>
      <c r="AO30" s="17"/>
      <c r="AP30" s="81" t="s">
        <v>149</v>
      </c>
      <c r="AQ30" s="82">
        <f>SUM([2]!NonNurse[Hrs_OthMD])</f>
        <v>2180.0312222222224</v>
      </c>
      <c r="AR30" s="83">
        <f>[2]!Category122114[[#This Row],[US Total Hours]]/SUM([2]!NonNurse[MDScensus])*60</f>
        <v>0.10452791352557632</v>
      </c>
      <c r="AS30" s="91">
        <f>COUNTIF([2]!NonNurse[Hrs_OthMD], 0)</f>
        <v>13319</v>
      </c>
    </row>
    <row r="31" spans="20:45" ht="15" customHeight="1" x14ac:dyDescent="0.2">
      <c r="W31" s="23"/>
      <c r="X31" s="108" t="s">
        <v>87</v>
      </c>
      <c r="Y31" s="101">
        <f>SUMIF([2]!NonNurse[STATE], State112010[[#This Row],[State]], [2]!NonNurse[MDScensus])</f>
        <v>4495.4444444444462</v>
      </c>
      <c r="Z31" s="101">
        <f>COUNTIF([2]!NonNurse[STATE], State112010[[#This Row],[State]])</f>
        <v>70</v>
      </c>
      <c r="AA31" s="102">
        <f>SUMIF([2]!NonNurse[STATE], State112010[[#This Row],[State]], [2]!NonNurse[Hrs_Admin])/SUMIF([2]!NonNurse[STATE], State112010[[#This Row],[State]], [2]!NonNurse[MDScensus])*60</f>
        <v>4.4988521713339411</v>
      </c>
      <c r="AB31" s="101">
        <f>RANK(State112010[[#This Row],[Total Admin MPRD]],State112010[Total Admin MPRD])</f>
        <v>18</v>
      </c>
      <c r="AC31" s="102">
        <f>SUMIF([2]!NonNurse[STATE], State112010[[#This Row],[State]], [2]!NonNurse[Hrs_MedDir])/SUMIF([2]!NonNurse[STATE], State112010[[#This Row],[State]], [2]!NonNurse[MDScensus])*60</f>
        <v>0.16906745099977752</v>
      </c>
      <c r="AD31" s="101">
        <f>RANK(State112010[[#This Row],[Total MedDir MPRD]],State112010[Total MedDir MPRD])</f>
        <v>47</v>
      </c>
      <c r="AE31" s="102">
        <f>SUMIF([2]!NonNurse[STATE], State112010[[#This Row],[State]], [2]!NonNurse[Hrs_Pharmacist])/SUMIF([2]!NonNurse[STATE], State112010[[#This Row],[State]], [2]!NonNurse[MDScensus])*60</f>
        <v>0.2833816950493091</v>
      </c>
      <c r="AF31" s="101">
        <f>RANK(State112010[[#This Row],[Total Pharmacist MPRD]],State112010[Total Pharmacist MPRD])</f>
        <v>26</v>
      </c>
      <c r="AG31" s="102">
        <f>(SUMIF([2]!NonNurse[STATE], State112010[[#This Row],[State]], [2]!NonNurse[Hrs_SpcLangPath]) + SUMIF([2]!NonNurse[STATE], State112010[[#This Row],[State]], [2]!NonNurse[Hrs_QualSocWrk])) / SUMIF([2]!NonNurse[STATE], State112010[[#This Row],[State]], [2]!NonNurse[MDScensus]) * 60</f>
        <v>5.1803153810029894</v>
      </c>
      <c r="AH31" s="101">
        <f>RANK(State112010[[#This Row],[Total Social Work MPRD]],State112010[Total Social Work MPRD])</f>
        <v>31</v>
      </c>
      <c r="AI31"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20.047510107702831</v>
      </c>
      <c r="AJ31" s="101">
        <f>RANK(State112010[[#This Row],[Total OT MPRD]],State112010[Total OT MPRD])</f>
        <v>10</v>
      </c>
      <c r="AK31"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7.3843588508022782</v>
      </c>
      <c r="AL31" s="101">
        <f>RANK(State112010[[#This Row],[Total PT MPRD]],State112010[Total PT MPRD])</f>
        <v>52</v>
      </c>
      <c r="AM31" s="102">
        <f>(SUMIF([2]!NonNurse[STATE], State112010[[#This Row],[State]], [2]!NonNurse[MPRD: Total Social Work]) + SUMIF([2]!NonNurse[STATE], State112010[[#This Row],[State]], [2]!NonNurse[Hrs_QualActvProf])) / SUMIF([2]!NonNurse[STATE], State112010[[#This Row],[State]], [2]!NonNurse[MDScensus]) * 60</f>
        <v>11.663236549801105</v>
      </c>
      <c r="AN31" s="109">
        <f>RANK(State112010[[#This Row],[Total Activities MPRD]], State112010[Total Activities MPRD])</f>
        <v>8</v>
      </c>
    </row>
    <row r="32" spans="20:45" ht="15" customHeight="1" x14ac:dyDescent="0.2">
      <c r="W32" s="23"/>
      <c r="X32" s="23" t="s">
        <v>88</v>
      </c>
      <c r="Y32" s="16">
        <f>SUMIF([2]!NonNurse[STATE], State112010[[#This Row],[State]], [2]!NonNurse[MDScensus])</f>
        <v>9690.0333333333347</v>
      </c>
      <c r="Z32" s="16">
        <f>COUNTIF([2]!NonNurse[STATE], State112010[[#This Row],[State]])</f>
        <v>175</v>
      </c>
      <c r="AA32" s="17">
        <f>SUMIF([2]!NonNurse[STATE], State112010[[#This Row],[State]], [2]!NonNurse[Hrs_Admin])/SUMIF([2]!NonNurse[STATE], State112010[[#This Row],[State]], [2]!NonNurse[MDScensus])*60</f>
        <v>5.4059703956986667</v>
      </c>
      <c r="AB32" s="16">
        <f>RANK(State112010[[#This Row],[Total Admin MPRD]],State112010[Total Admin MPRD])</f>
        <v>9</v>
      </c>
      <c r="AC32" s="17">
        <f>SUMIF([2]!NonNurse[STATE], State112010[[#This Row],[State]], [2]!NonNurse[Hrs_MedDir])/SUMIF([2]!NonNurse[STATE], State112010[[#This Row],[State]], [2]!NonNurse[MDScensus])*60</f>
        <v>0.18207505306139288</v>
      </c>
      <c r="AD32" s="16">
        <f>RANK(State112010[[#This Row],[Total MedDir MPRD]],State112010[Total MedDir MPRD])</f>
        <v>46</v>
      </c>
      <c r="AE32" s="17">
        <f>SUMIF([2]!NonNurse[STATE], State112010[[#This Row],[State]], [2]!NonNurse[Hrs_Pharmacist])/SUMIF([2]!NonNurse[STATE], State112010[[#This Row],[State]], [2]!NonNurse[MDScensus])*60</f>
        <v>0.45799842449802386</v>
      </c>
      <c r="AF32" s="16">
        <f>RANK(State112010[[#This Row],[Total Pharmacist MPRD]],State112010[Total Pharmacist MPRD])</f>
        <v>7</v>
      </c>
      <c r="AG32" s="17">
        <f>(SUMIF([2]!NonNurse[STATE], State112010[[#This Row],[State]], [2]!NonNurse[Hrs_SpcLangPath]) + SUMIF([2]!NonNurse[STATE], State112010[[#This Row],[State]], [2]!NonNurse[Hrs_QualSocWrk])) / SUMIF([2]!NonNurse[STATE], State112010[[#This Row],[State]], [2]!NonNurse[MDScensus]) * 60</f>
        <v>5.1742725343222062</v>
      </c>
      <c r="AH32" s="16">
        <f>RANK(State112010[[#This Row],[Total Social Work MPRD]],State112010[Total Social Work MPRD])</f>
        <v>32</v>
      </c>
      <c r="AI32"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17.259514836149492</v>
      </c>
      <c r="AJ32" s="16">
        <f>RANK(State112010[[#This Row],[Total OT MPRD]],State112010[Total OT MPRD])</f>
        <v>24</v>
      </c>
      <c r="AK32"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14.451380606210135</v>
      </c>
      <c r="AL32" s="16">
        <f>RANK(State112010[[#This Row],[Total PT MPRD]],State112010[Total PT MPRD])</f>
        <v>28</v>
      </c>
      <c r="AM32" s="17">
        <f>(SUMIF([2]!NonNurse[STATE], State112010[[#This Row],[State]], [2]!NonNurse[MPRD: Total Social Work]) + SUMIF([2]!NonNurse[STATE], State112010[[#This Row],[State]], [2]!NonNurse[Hrs_QualActvProf])) / SUMIF([2]!NonNurse[STATE], State112010[[#This Row],[State]], [2]!NonNurse[MDScensus]) * 60</f>
        <v>11.696220075074558</v>
      </c>
      <c r="AN32" s="36">
        <f>RANK(State112010[[#This Row],[Total Activities MPRD]], State112010[Total Activities MPRD])</f>
        <v>6</v>
      </c>
    </row>
    <row r="33" spans="23:41" ht="15" customHeight="1" x14ac:dyDescent="0.2">
      <c r="W33" s="23"/>
      <c r="X33" s="108" t="s">
        <v>89</v>
      </c>
      <c r="Y33" s="101">
        <f>SUMIF([2]!NonNurse[STATE], State112010[[#This Row],[State]], [2]!NonNurse[MDScensus])</f>
        <v>5929.1222222222214</v>
      </c>
      <c r="Z33" s="101">
        <f>COUNTIF([2]!NonNurse[STATE], State112010[[#This Row],[State]])</f>
        <v>72</v>
      </c>
      <c r="AA33" s="102">
        <f>SUMIF([2]!NonNurse[STATE], State112010[[#This Row],[State]], [2]!NonNurse[Hrs_Admin])/SUMIF([2]!NonNurse[STATE], State112010[[#This Row],[State]], [2]!NonNurse[MDScensus])*60</f>
        <v>4.0787319089765965</v>
      </c>
      <c r="AB33" s="101">
        <f>RANK(State112010[[#This Row],[Total Admin MPRD]],State112010[Total Admin MPRD])</f>
        <v>25</v>
      </c>
      <c r="AC33" s="102">
        <f>SUMIF([2]!NonNurse[STATE], State112010[[#This Row],[State]], [2]!NonNurse[Hrs_MedDir])/SUMIF([2]!NonNurse[STATE], State112010[[#This Row],[State]], [2]!NonNurse[MDScensus])*60</f>
        <v>0.33712691217174739</v>
      </c>
      <c r="AD33" s="101">
        <f>RANK(State112010[[#This Row],[Total MedDir MPRD]],State112010[Total MedDir MPRD])</f>
        <v>12</v>
      </c>
      <c r="AE33" s="102">
        <f>SUMIF([2]!NonNurse[STATE], State112010[[#This Row],[State]], [2]!NonNurse[Hrs_Pharmacist])/SUMIF([2]!NonNurse[STATE], State112010[[#This Row],[State]], [2]!NonNurse[MDScensus])*60</f>
        <v>0.23957003191403642</v>
      </c>
      <c r="AF33" s="101">
        <f>RANK(State112010[[#This Row],[Total Pharmacist MPRD]],State112010[Total Pharmacist MPRD])</f>
        <v>34</v>
      </c>
      <c r="AG33" s="102">
        <f>(SUMIF([2]!NonNurse[STATE], State112010[[#This Row],[State]], [2]!NonNurse[Hrs_SpcLangPath]) + SUMIF([2]!NonNurse[STATE], State112010[[#This Row],[State]], [2]!NonNurse[Hrs_QualSocWrk])) / SUMIF([2]!NonNurse[STATE], State112010[[#This Row],[State]], [2]!NonNurse[MDScensus]) * 60</f>
        <v>7.0544618746263748</v>
      </c>
      <c r="AH33" s="101">
        <f>RANK(State112010[[#This Row],[Total Social Work MPRD]],State112010[Total Social Work MPRD])</f>
        <v>6</v>
      </c>
      <c r="AI33"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16.808313921688256</v>
      </c>
      <c r="AJ33" s="101">
        <f>RANK(State112010[[#This Row],[Total OT MPRD]],State112010[Total OT MPRD])</f>
        <v>25</v>
      </c>
      <c r="AK33"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13.643960991459785</v>
      </c>
      <c r="AL33" s="101">
        <f>RANK(State112010[[#This Row],[Total PT MPRD]],State112010[Total PT MPRD])</f>
        <v>33</v>
      </c>
      <c r="AM33" s="102">
        <f>(SUMIF([2]!NonNurse[STATE], State112010[[#This Row],[State]], [2]!NonNurse[MPRD: Total Social Work]) + SUMIF([2]!NonNurse[STATE], State112010[[#This Row],[State]], [2]!NonNurse[Hrs_QualActvProf])) / SUMIF([2]!NonNurse[STATE], State112010[[#This Row],[State]], [2]!NonNurse[MDScensus]) * 60</f>
        <v>7.3004796214769749</v>
      </c>
      <c r="AN33" s="109">
        <f>RANK(State112010[[#This Row],[Total Activities MPRD]], State112010[Total Activities MPRD])</f>
        <v>27</v>
      </c>
    </row>
    <row r="34" spans="23:41" ht="15" customHeight="1" x14ac:dyDescent="0.2">
      <c r="W34" s="23"/>
      <c r="X34" s="23" t="s">
        <v>90</v>
      </c>
      <c r="Y34" s="16">
        <f>SUMIF([2]!NonNurse[STATE], State112010[[#This Row],[State]], [2]!NonNurse[MDScensus])</f>
        <v>42500.311111111077</v>
      </c>
      <c r="Z34" s="16">
        <f>COUNTIF([2]!NonNurse[STATE], State112010[[#This Row],[State]])</f>
        <v>347</v>
      </c>
      <c r="AA34" s="17">
        <f>SUMIF([2]!NonNurse[STATE], State112010[[#This Row],[State]], [2]!NonNurse[Hrs_Admin])/SUMIF([2]!NonNurse[STATE], State112010[[#This Row],[State]], [2]!NonNurse[MDScensus])*60</f>
        <v>2.7236476700301275</v>
      </c>
      <c r="AB34" s="16">
        <f>RANK(State112010[[#This Row],[Total Admin MPRD]],State112010[Total Admin MPRD])</f>
        <v>50</v>
      </c>
      <c r="AC34" s="17">
        <f>SUMIF([2]!NonNurse[STATE], State112010[[#This Row],[State]], [2]!NonNurse[Hrs_MedDir])/SUMIF([2]!NonNurse[STATE], State112010[[#This Row],[State]], [2]!NonNurse[MDScensus])*60</f>
        <v>0.2407577670019673</v>
      </c>
      <c r="AD34" s="16">
        <f>RANK(State112010[[#This Row],[Total MedDir MPRD]],State112010[Total MedDir MPRD])</f>
        <v>29</v>
      </c>
      <c r="AE34" s="17">
        <f>SUMIF([2]!NonNurse[STATE], State112010[[#This Row],[State]], [2]!NonNurse[Hrs_Pharmacist])/SUMIF([2]!NonNurse[STATE], State112010[[#This Row],[State]], [2]!NonNurse[MDScensus])*60</f>
        <v>0.30878832782400562</v>
      </c>
      <c r="AF34" s="16">
        <f>RANK(State112010[[#This Row],[Total Pharmacist MPRD]],State112010[Total Pharmacist MPRD])</f>
        <v>20</v>
      </c>
      <c r="AG34" s="17">
        <f>(SUMIF([2]!NonNurse[STATE], State112010[[#This Row],[State]], [2]!NonNurse[Hrs_SpcLangPath]) + SUMIF([2]!NonNurse[STATE], State112010[[#This Row],[State]], [2]!NonNurse[Hrs_QualSocWrk])) / SUMIF([2]!NonNurse[STATE], State112010[[#This Row],[State]], [2]!NonNurse[MDScensus]) * 60</f>
        <v>5.5589641696740548</v>
      </c>
      <c r="AH34" s="16">
        <f>RANK(State112010[[#This Row],[Total Social Work MPRD]],State112010[Total Social Work MPRD])</f>
        <v>26</v>
      </c>
      <c r="AI34"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15.854782292009514</v>
      </c>
      <c r="AJ34" s="16">
        <f>RANK(State112010[[#This Row],[Total OT MPRD]],State112010[Total OT MPRD])</f>
        <v>30</v>
      </c>
      <c r="AK34"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13.198138196028291</v>
      </c>
      <c r="AL34" s="16">
        <f>RANK(State112010[[#This Row],[Total PT MPRD]],State112010[Total PT MPRD])</f>
        <v>35</v>
      </c>
      <c r="AM34" s="17">
        <f>(SUMIF([2]!NonNurse[STATE], State112010[[#This Row],[State]], [2]!NonNurse[MPRD: Total Social Work]) + SUMIF([2]!NonNurse[STATE], State112010[[#This Row],[State]], [2]!NonNurse[Hrs_QualActvProf])) / SUMIF([2]!NonNurse[STATE], State112010[[#This Row],[State]], [2]!NonNurse[MDScensus]) * 60</f>
        <v>4.7453386446939358</v>
      </c>
      <c r="AN34" s="36">
        <f>RANK(State112010[[#This Row],[Total Activities MPRD]], State112010[Total Activities MPRD])</f>
        <v>50</v>
      </c>
      <c r="AO34" s="17"/>
    </row>
    <row r="35" spans="23:41" ht="15" customHeight="1" x14ac:dyDescent="0.2">
      <c r="W35" s="23"/>
      <c r="X35" s="108" t="s">
        <v>91</v>
      </c>
      <c r="Y35" s="101">
        <f>SUMIF([2]!NonNurse[STATE], State112010[[#This Row],[State]], [2]!NonNurse[MDScensus])</f>
        <v>5770.9000000000005</v>
      </c>
      <c r="Z35" s="101">
        <f>COUNTIF([2]!NonNurse[STATE], State112010[[#This Row],[State]])</f>
        <v>68</v>
      </c>
      <c r="AA35" s="102">
        <f>SUMIF([2]!NonNurse[STATE], State112010[[#This Row],[State]], [2]!NonNurse[Hrs_Admin])/SUMIF([2]!NonNurse[STATE], State112010[[#This Row],[State]], [2]!NonNurse[MDScensus])*60</f>
        <v>3.8849480439215149</v>
      </c>
      <c r="AB35" s="101">
        <f>RANK(State112010[[#This Row],[Total Admin MPRD]],State112010[Total Admin MPRD])</f>
        <v>29</v>
      </c>
      <c r="AC35" s="102">
        <f>SUMIF([2]!NonNurse[STATE], State112010[[#This Row],[State]], [2]!NonNurse[Hrs_MedDir])/SUMIF([2]!NonNurse[STATE], State112010[[#This Row],[State]], [2]!NonNurse[MDScensus])*60</f>
        <v>0.29157323814309716</v>
      </c>
      <c r="AD35" s="101">
        <f>RANK(State112010[[#This Row],[Total MedDir MPRD]],State112010[Total MedDir MPRD])</f>
        <v>20</v>
      </c>
      <c r="AE35" s="102">
        <f>SUMIF([2]!NonNurse[STATE], State112010[[#This Row],[State]], [2]!NonNurse[Hrs_Pharmacist])/SUMIF([2]!NonNurse[STATE], State112010[[#This Row],[State]], [2]!NonNurse[MDScensus])*60</f>
        <v>0.31572198443916888</v>
      </c>
      <c r="AF35" s="101">
        <f>RANK(State112010[[#This Row],[Total Pharmacist MPRD]],State112010[Total Pharmacist MPRD])</f>
        <v>18</v>
      </c>
      <c r="AG35" s="102">
        <f>(SUMIF([2]!NonNurse[STATE], State112010[[#This Row],[State]], [2]!NonNurse[Hrs_SpcLangPath]) + SUMIF([2]!NonNurse[STATE], State112010[[#This Row],[State]], [2]!NonNurse[Hrs_QualSocWrk])) / SUMIF([2]!NonNurse[STATE], State112010[[#This Row],[State]], [2]!NonNurse[MDScensus]) * 60</f>
        <v>5.711842751275074</v>
      </c>
      <c r="AH35" s="101">
        <f>RANK(State112010[[#This Row],[Total Social Work MPRD]],State112010[Total Social Work MPRD])</f>
        <v>24</v>
      </c>
      <c r="AI35"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17.446740264646056</v>
      </c>
      <c r="AJ35" s="101">
        <f>RANK(State112010[[#This Row],[Total OT MPRD]],State112010[Total OT MPRD])</f>
        <v>22</v>
      </c>
      <c r="AK35"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12.840473954514824</v>
      </c>
      <c r="AL35" s="101">
        <f>RANK(State112010[[#This Row],[Total PT MPRD]],State112010[Total PT MPRD])</f>
        <v>38</v>
      </c>
      <c r="AM35" s="102">
        <f>(SUMIF([2]!NonNurse[STATE], State112010[[#This Row],[State]], [2]!NonNurse[MPRD: Total Social Work]) + SUMIF([2]!NonNurse[STATE], State112010[[#This Row],[State]], [2]!NonNurse[Hrs_QualActvProf])) / SUMIF([2]!NonNurse[STATE], State112010[[#This Row],[State]], [2]!NonNurse[MDScensus]) * 60</f>
        <v>4.9873732610815251</v>
      </c>
      <c r="AN35" s="109">
        <f>RANK(State112010[[#This Row],[Total Activities MPRD]], State112010[Total Activities MPRD])</f>
        <v>48</v>
      </c>
    </row>
    <row r="36" spans="23:41" ht="15" customHeight="1" x14ac:dyDescent="0.2">
      <c r="W36" s="23"/>
      <c r="X36" s="23" t="s">
        <v>92</v>
      </c>
      <c r="Y36" s="16">
        <f>SUMIF([2]!NonNurse[STATE], State112010[[#This Row],[State]], [2]!NonNurse[MDScensus])</f>
        <v>6166.4555555555553</v>
      </c>
      <c r="Z36" s="16">
        <f>COUNTIF([2]!NonNurse[STATE], State112010[[#This Row],[State]])</f>
        <v>64</v>
      </c>
      <c r="AA36" s="17">
        <f>SUMIF([2]!NonNurse[STATE], State112010[[#This Row],[State]], [2]!NonNurse[Hrs_Admin])/SUMIF([2]!NonNurse[STATE], State112010[[#This Row],[State]], [2]!NonNurse[MDScensus])*60</f>
        <v>2.758039284227749</v>
      </c>
      <c r="AB36" s="16">
        <f>RANK(State112010[[#This Row],[Total Admin MPRD]],State112010[Total Admin MPRD])</f>
        <v>49</v>
      </c>
      <c r="AC36" s="17">
        <f>SUMIF([2]!NonNurse[STATE], State112010[[#This Row],[State]], [2]!NonNurse[Hrs_MedDir])/SUMIF([2]!NonNurse[STATE], State112010[[#This Row],[State]], [2]!NonNurse[MDScensus])*60</f>
        <v>0.23987307673596037</v>
      </c>
      <c r="AD36" s="16">
        <f>RANK(State112010[[#This Row],[Total MedDir MPRD]],State112010[Total MedDir MPRD])</f>
        <v>30</v>
      </c>
      <c r="AE36" s="17">
        <f>SUMIF([2]!NonNurse[STATE], State112010[[#This Row],[State]], [2]!NonNurse[Hrs_Pharmacist])/SUMIF([2]!NonNurse[STATE], State112010[[#This Row],[State]], [2]!NonNurse[MDScensus])*60</f>
        <v>0.19622509599427734</v>
      </c>
      <c r="AF36" s="16">
        <f>RANK(State112010[[#This Row],[Total Pharmacist MPRD]],State112010[Total Pharmacist MPRD])</f>
        <v>40</v>
      </c>
      <c r="AG36" s="17">
        <f>(SUMIF([2]!NonNurse[STATE], State112010[[#This Row],[State]], [2]!NonNurse[Hrs_SpcLangPath]) + SUMIF([2]!NonNurse[STATE], State112010[[#This Row],[State]], [2]!NonNurse[Hrs_QualSocWrk])) / SUMIF([2]!NonNurse[STATE], State112010[[#This Row],[State]], [2]!NonNurse[MDScensus]) * 60</f>
        <v>5.1325508440829504</v>
      </c>
      <c r="AH36" s="16">
        <f>RANK(State112010[[#This Row],[Total Social Work MPRD]],State112010[Total Social Work MPRD])</f>
        <v>34</v>
      </c>
      <c r="AI36"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16.446528327567311</v>
      </c>
      <c r="AJ36" s="16">
        <f>RANK(State112010[[#This Row],[Total OT MPRD]],State112010[Total OT MPRD])</f>
        <v>27</v>
      </c>
      <c r="AK36"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19.178670854794646</v>
      </c>
      <c r="AL36" s="16">
        <f>RANK(State112010[[#This Row],[Total PT MPRD]],State112010[Total PT MPRD])</f>
        <v>9</v>
      </c>
      <c r="AM36" s="17">
        <f>(SUMIF([2]!NonNurse[STATE], State112010[[#This Row],[State]], [2]!NonNurse[MPRD: Total Social Work]) + SUMIF([2]!NonNurse[STATE], State112010[[#This Row],[State]], [2]!NonNurse[Hrs_QualActvProf])) / SUMIF([2]!NonNurse[STATE], State112010[[#This Row],[State]], [2]!NonNurse[MDScensus]) * 60</f>
        <v>5.8701128304139445</v>
      </c>
      <c r="AN36" s="36">
        <f>RANK(State112010[[#This Row],[Total Activities MPRD]], State112010[Total Activities MPRD])</f>
        <v>42</v>
      </c>
    </row>
    <row r="37" spans="23:41" ht="15" customHeight="1" x14ac:dyDescent="0.2">
      <c r="W37" s="23"/>
      <c r="X37" s="108" t="s">
        <v>93</v>
      </c>
      <c r="Y37" s="101">
        <f>SUMIF([2]!NonNurse[STATE], State112010[[#This Row],[State]], [2]!NonNurse[MDScensus])</f>
        <v>98717.444444444278</v>
      </c>
      <c r="Z37" s="101">
        <f>COUNTIF([2]!NonNurse[STATE], State112010[[#This Row],[State]])</f>
        <v>590</v>
      </c>
      <c r="AA37" s="102">
        <f>SUMIF([2]!NonNurse[STATE], State112010[[#This Row],[State]], [2]!NonNurse[Hrs_Admin])/SUMIF([2]!NonNurse[STATE], State112010[[#This Row],[State]], [2]!NonNurse[MDScensus])*60</f>
        <v>2.0032690383440093</v>
      </c>
      <c r="AB37" s="101">
        <f>RANK(State112010[[#This Row],[Total Admin MPRD]],State112010[Total Admin MPRD])</f>
        <v>51</v>
      </c>
      <c r="AC37" s="102">
        <f>SUMIF([2]!NonNurse[STATE], State112010[[#This Row],[State]], [2]!NonNurse[Hrs_MedDir])/SUMIF([2]!NonNurse[STATE], State112010[[#This Row],[State]], [2]!NonNurse[MDScensus])*60</f>
        <v>0.40860255476629803</v>
      </c>
      <c r="AD37" s="101">
        <f>RANK(State112010[[#This Row],[Total MedDir MPRD]],State112010[Total MedDir MPRD])</f>
        <v>6</v>
      </c>
      <c r="AE37" s="102">
        <f>SUMIF([2]!NonNurse[STATE], State112010[[#This Row],[State]], [2]!NonNurse[Hrs_Pharmacist])/SUMIF([2]!NonNurse[STATE], State112010[[#This Row],[State]], [2]!NonNurse[MDScensus])*60</f>
        <v>0.29356202945106002</v>
      </c>
      <c r="AF37" s="101">
        <f>RANK(State112010[[#This Row],[Total Pharmacist MPRD]],State112010[Total Pharmacist MPRD])</f>
        <v>22</v>
      </c>
      <c r="AG37" s="102">
        <f>(SUMIF([2]!NonNurse[STATE], State112010[[#This Row],[State]], [2]!NonNurse[Hrs_SpcLangPath]) + SUMIF([2]!NonNurse[STATE], State112010[[#This Row],[State]], [2]!NonNurse[Hrs_QualSocWrk])) / SUMIF([2]!NonNurse[STATE], State112010[[#This Row],[State]], [2]!NonNurse[MDScensus]) * 60</f>
        <v>5.3669347194067978</v>
      </c>
      <c r="AH37" s="101">
        <f>RANK(State112010[[#This Row],[Total Social Work MPRD]],State112010[Total Social Work MPRD])</f>
        <v>29</v>
      </c>
      <c r="AI37"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12.173967161836895</v>
      </c>
      <c r="AJ37" s="101">
        <f>RANK(State112010[[#This Row],[Total OT MPRD]],State112010[Total OT MPRD])</f>
        <v>45</v>
      </c>
      <c r="AK37"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13.871756964299401</v>
      </c>
      <c r="AL37" s="101">
        <f>RANK(State112010[[#This Row],[Total PT MPRD]],State112010[Total PT MPRD])</f>
        <v>32</v>
      </c>
      <c r="AM37" s="102">
        <f>(SUMIF([2]!NonNurse[STATE], State112010[[#This Row],[State]], [2]!NonNurse[MPRD: Total Social Work]) + SUMIF([2]!NonNurse[STATE], State112010[[#This Row],[State]], [2]!NonNurse[Hrs_QualActvProf])) / SUMIF([2]!NonNurse[STATE], State112010[[#This Row],[State]], [2]!NonNurse[MDScensus]) * 60</f>
        <v>3.8724160529061211</v>
      </c>
      <c r="AN37" s="109">
        <f>RANK(State112010[[#This Row],[Total Activities MPRD]], State112010[Total Activities MPRD])</f>
        <v>52</v>
      </c>
    </row>
    <row r="38" spans="23:41" ht="15" customHeight="1" x14ac:dyDescent="0.2">
      <c r="W38" s="23"/>
      <c r="X38" s="23" t="s">
        <v>94</v>
      </c>
      <c r="Y38" s="16">
        <f>SUMIF([2]!NonNurse[STATE], State112010[[#This Row],[State]], [2]!NonNurse[MDScensus])</f>
        <v>67569.788888888826</v>
      </c>
      <c r="Z38" s="16">
        <f>COUNTIF([2]!NonNurse[STATE], State112010[[#This Row],[State]])</f>
        <v>917</v>
      </c>
      <c r="AA38" s="17">
        <f>SUMIF([2]!NonNurse[STATE], State112010[[#This Row],[State]], [2]!NonNurse[Hrs_Admin])/SUMIF([2]!NonNurse[STATE], State112010[[#This Row],[State]], [2]!NonNurse[MDScensus])*60</f>
        <v>4.1951873955503771</v>
      </c>
      <c r="AB38" s="16">
        <f>RANK(State112010[[#This Row],[Total Admin MPRD]],State112010[Total Admin MPRD])</f>
        <v>24</v>
      </c>
      <c r="AC38" s="17">
        <f>SUMIF([2]!NonNurse[STATE], State112010[[#This Row],[State]], [2]!NonNurse[Hrs_MedDir])/SUMIF([2]!NonNurse[STATE], State112010[[#This Row],[State]], [2]!NonNurse[MDScensus])*60</f>
        <v>0.30061748503317037</v>
      </c>
      <c r="AD38" s="16">
        <f>RANK(State112010[[#This Row],[Total MedDir MPRD]],State112010[Total MedDir MPRD])</f>
        <v>16</v>
      </c>
      <c r="AE38" s="17">
        <f>SUMIF([2]!NonNurse[STATE], State112010[[#This Row],[State]], [2]!NonNurse[Hrs_Pharmacist])/SUMIF([2]!NonNurse[STATE], State112010[[#This Row],[State]], [2]!NonNurse[MDScensus])*60</f>
        <v>0.25812285273448182</v>
      </c>
      <c r="AF38" s="16">
        <f>RANK(State112010[[#This Row],[Total Pharmacist MPRD]],State112010[Total Pharmacist MPRD])</f>
        <v>31</v>
      </c>
      <c r="AG38" s="17">
        <f>(SUMIF([2]!NonNurse[STATE], State112010[[#This Row],[State]], [2]!NonNurse[Hrs_SpcLangPath]) + SUMIF([2]!NonNurse[STATE], State112010[[#This Row],[State]], [2]!NonNurse[Hrs_QualSocWrk])) / SUMIF([2]!NonNurse[STATE], State112010[[#This Row],[State]], [2]!NonNurse[MDScensus]) * 60</f>
        <v>4.8393868331359871</v>
      </c>
      <c r="AH38" s="16">
        <f>RANK(State112010[[#This Row],[Total Social Work MPRD]],State112010[Total Social Work MPRD])</f>
        <v>40</v>
      </c>
      <c r="AI38"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17.533134003290694</v>
      </c>
      <c r="AJ38" s="16">
        <f>RANK(State112010[[#This Row],[Total OT MPRD]],State112010[Total OT MPRD])</f>
        <v>21</v>
      </c>
      <c r="AK38"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15.448692289531621</v>
      </c>
      <c r="AL38" s="16">
        <f>RANK(State112010[[#This Row],[Total PT MPRD]],State112010[Total PT MPRD])</f>
        <v>21</v>
      </c>
      <c r="AM38" s="17">
        <f>(SUMIF([2]!NonNurse[STATE], State112010[[#This Row],[State]], [2]!NonNurse[MPRD: Total Social Work]) + SUMIF([2]!NonNurse[STATE], State112010[[#This Row],[State]], [2]!NonNurse[Hrs_QualActvProf])) / SUMIF([2]!NonNurse[STATE], State112010[[#This Row],[State]], [2]!NonNurse[MDScensus]) * 60</f>
        <v>7.2217964261247749</v>
      </c>
      <c r="AN38" s="36">
        <f>RANK(State112010[[#This Row],[Total Activities MPRD]], State112010[Total Activities MPRD])</f>
        <v>29</v>
      </c>
    </row>
    <row r="39" spans="23:41" ht="15" customHeight="1" x14ac:dyDescent="0.2">
      <c r="W39" s="23"/>
      <c r="X39" s="108" t="s">
        <v>95</v>
      </c>
      <c r="Y39" s="101">
        <f>SUMIF([2]!NonNurse[STATE], State112010[[#This Row],[State]], [2]!NonNurse[MDScensus])</f>
        <v>16573.133333333346</v>
      </c>
      <c r="Z39" s="101">
        <f>COUNTIF([2]!NonNurse[STATE], State112010[[#This Row],[State]])</f>
        <v>270</v>
      </c>
      <c r="AA39" s="102">
        <f>SUMIF([2]!NonNurse[STATE], State112010[[#This Row],[State]], [2]!NonNurse[Hrs_Admin])/SUMIF([2]!NonNurse[STATE], State112010[[#This Row],[State]], [2]!NonNurse[MDScensus])*60</f>
        <v>5.2471131992743194</v>
      </c>
      <c r="AB39" s="101">
        <f>RANK(State112010[[#This Row],[Total Admin MPRD]],State112010[Total Admin MPRD])</f>
        <v>11</v>
      </c>
      <c r="AC39" s="102">
        <f>SUMIF([2]!NonNurse[STATE], State112010[[#This Row],[State]], [2]!NonNurse[Hrs_MedDir])/SUMIF([2]!NonNurse[STATE], State112010[[#This Row],[State]], [2]!NonNurse[MDScensus])*60</f>
        <v>0.49052764112197639</v>
      </c>
      <c r="AD39" s="101">
        <f>RANK(State112010[[#This Row],[Total MedDir MPRD]],State112010[Total MedDir MPRD])</f>
        <v>4</v>
      </c>
      <c r="AE39" s="102">
        <f>SUMIF([2]!NonNurse[STATE], State112010[[#This Row],[State]], [2]!NonNurse[Hrs_Pharmacist])/SUMIF([2]!NonNurse[STATE], State112010[[#This Row],[State]], [2]!NonNurse[MDScensus])*60</f>
        <v>0.57445383492158009</v>
      </c>
      <c r="AF39" s="101">
        <f>RANK(State112010[[#This Row],[Total Pharmacist MPRD]],State112010[Total Pharmacist MPRD])</f>
        <v>4</v>
      </c>
      <c r="AG39" s="102">
        <f>(SUMIF([2]!NonNurse[STATE], State112010[[#This Row],[State]], [2]!NonNurse[Hrs_SpcLangPath]) + SUMIF([2]!NonNurse[STATE], State112010[[#This Row],[State]], [2]!NonNurse[Hrs_QualSocWrk])) / SUMIF([2]!NonNurse[STATE], State112010[[#This Row],[State]], [2]!NonNurse[MDScensus]) * 60</f>
        <v>4.3389031243337577</v>
      </c>
      <c r="AH39" s="101">
        <f>RANK(State112010[[#This Row],[Total Social Work MPRD]],State112010[Total Social Work MPRD])</f>
        <v>47</v>
      </c>
      <c r="AI39"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9.7846882990154462</v>
      </c>
      <c r="AJ39" s="101">
        <f>RANK(State112010[[#This Row],[Total OT MPRD]],State112010[Total OT MPRD])</f>
        <v>49</v>
      </c>
      <c r="AK39"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9.7310697755153992</v>
      </c>
      <c r="AL39" s="101">
        <f>RANK(State112010[[#This Row],[Total PT MPRD]],State112010[Total PT MPRD])</f>
        <v>50</v>
      </c>
      <c r="AM39" s="102">
        <f>(SUMIF([2]!NonNurse[STATE], State112010[[#This Row],[State]], [2]!NonNurse[MPRD: Total Social Work]) + SUMIF([2]!NonNurse[STATE], State112010[[#This Row],[State]], [2]!NonNurse[Hrs_QualActvProf])) / SUMIF([2]!NonNurse[STATE], State112010[[#This Row],[State]], [2]!NonNurse[MDScensus]) * 60</f>
        <v>6.1626789994197582</v>
      </c>
      <c r="AN39" s="109">
        <f>RANK(State112010[[#This Row],[Total Activities MPRD]], State112010[Total Activities MPRD])</f>
        <v>39</v>
      </c>
    </row>
    <row r="40" spans="23:41" ht="15" customHeight="1" x14ac:dyDescent="0.2">
      <c r="W40" s="23"/>
      <c r="X40" s="23" t="s">
        <v>96</v>
      </c>
      <c r="Y40" s="16">
        <f>SUMIF([2]!NonNurse[STATE], State112010[[#This Row],[State]], [2]!NonNurse[MDScensus])</f>
        <v>7376.4777777777799</v>
      </c>
      <c r="Z40" s="16">
        <f>COUNTIF([2]!NonNurse[STATE], State112010[[#This Row],[State]])</f>
        <v>125</v>
      </c>
      <c r="AA40" s="17">
        <f>SUMIF([2]!NonNurse[STATE], State112010[[#This Row],[State]], [2]!NonNurse[Hrs_Admin])/SUMIF([2]!NonNurse[STATE], State112010[[#This Row],[State]], [2]!NonNurse[MDScensus])*60</f>
        <v>5.4421800226847186</v>
      </c>
      <c r="AB40" s="16">
        <f>RANK(State112010[[#This Row],[Total Admin MPRD]],State112010[Total Admin MPRD])</f>
        <v>8</v>
      </c>
      <c r="AC40" s="17">
        <f>SUMIF([2]!NonNurse[STATE], State112010[[#This Row],[State]], [2]!NonNurse[Hrs_MedDir])/SUMIF([2]!NonNurse[STATE], State112010[[#This Row],[State]], [2]!NonNurse[MDScensus])*60</f>
        <v>0.5239971501002435</v>
      </c>
      <c r="AD40" s="16">
        <f>RANK(State112010[[#This Row],[Total MedDir MPRD]],State112010[Total MedDir MPRD])</f>
        <v>3</v>
      </c>
      <c r="AE40" s="17">
        <f>SUMIF([2]!NonNurse[STATE], State112010[[#This Row],[State]], [2]!NonNurse[Hrs_Pharmacist])/SUMIF([2]!NonNurse[STATE], State112010[[#This Row],[State]], [2]!NonNurse[MDScensus])*60</f>
        <v>0.25739113669125424</v>
      </c>
      <c r="AF40" s="16">
        <f>RANK(State112010[[#This Row],[Total Pharmacist MPRD]],State112010[Total Pharmacist MPRD])</f>
        <v>32</v>
      </c>
      <c r="AG40" s="17">
        <f>(SUMIF([2]!NonNurse[STATE], State112010[[#This Row],[State]], [2]!NonNurse[Hrs_SpcLangPath]) + SUMIF([2]!NonNurse[STATE], State112010[[#This Row],[State]], [2]!NonNurse[Hrs_QualSocWrk])) / SUMIF([2]!NonNurse[STATE], State112010[[#This Row],[State]], [2]!NonNurse[MDScensus]) * 60</f>
        <v>6.885386431042817</v>
      </c>
      <c r="AH40" s="16">
        <f>RANK(State112010[[#This Row],[Total Social Work MPRD]],State112010[Total Social Work MPRD])</f>
        <v>8</v>
      </c>
      <c r="AI40"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18.109856410664154</v>
      </c>
      <c r="AJ40" s="16">
        <f>RANK(State112010[[#This Row],[Total OT MPRD]],State112010[Total OT MPRD])</f>
        <v>19</v>
      </c>
      <c r="AK40"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19.715217460103556</v>
      </c>
      <c r="AL40" s="16">
        <f>RANK(State112010[[#This Row],[Total PT MPRD]],State112010[Total PT MPRD])</f>
        <v>7</v>
      </c>
      <c r="AM40" s="17">
        <f>(SUMIF([2]!NonNurse[STATE], State112010[[#This Row],[State]], [2]!NonNurse[MPRD: Total Social Work]) + SUMIF([2]!NonNurse[STATE], State112010[[#This Row],[State]], [2]!NonNurse[Hrs_QualActvProf])) / SUMIF([2]!NonNurse[STATE], State112010[[#This Row],[State]], [2]!NonNurse[MDScensus]) * 60</f>
        <v>13.123270732124316</v>
      </c>
      <c r="AN40" s="36">
        <f>RANK(State112010[[#This Row],[Total Activities MPRD]], State112010[Total Activities MPRD])</f>
        <v>4</v>
      </c>
    </row>
    <row r="41" spans="23:41" ht="15" customHeight="1" x14ac:dyDescent="0.2">
      <c r="W41" s="23"/>
      <c r="X41" s="108" t="s">
        <v>97</v>
      </c>
      <c r="Y41" s="101">
        <f>SUMIF([2]!NonNurse[STATE], State112010[[#This Row],[State]], [2]!NonNurse[MDScensus])</f>
        <v>67658.811111111077</v>
      </c>
      <c r="Z41" s="101">
        <f>COUNTIF([2]!NonNurse[STATE], State112010[[#This Row],[State]])</f>
        <v>644</v>
      </c>
      <c r="AA41" s="102">
        <f>SUMIF([2]!NonNurse[STATE], State112010[[#This Row],[State]], [2]!NonNurse[Hrs_Admin])/SUMIF([2]!NonNurse[STATE], State112010[[#This Row],[State]], [2]!NonNurse[MDScensus])*60</f>
        <v>3.1193776026215176</v>
      </c>
      <c r="AB41" s="101">
        <f>RANK(State112010[[#This Row],[Total Admin MPRD]],State112010[Total Admin MPRD])</f>
        <v>45</v>
      </c>
      <c r="AC41" s="102">
        <f>SUMIF([2]!NonNurse[STATE], State112010[[#This Row],[State]], [2]!NonNurse[Hrs_MedDir])/SUMIF([2]!NonNurse[STATE], State112010[[#This Row],[State]], [2]!NonNurse[MDScensus])*60</f>
        <v>0.20500527729573881</v>
      </c>
      <c r="AD41" s="101">
        <f>RANK(State112010[[#This Row],[Total MedDir MPRD]],State112010[Total MedDir MPRD])</f>
        <v>41</v>
      </c>
      <c r="AE41" s="102">
        <f>SUMIF([2]!NonNurse[STATE], State112010[[#This Row],[State]], [2]!NonNurse[Hrs_Pharmacist])/SUMIF([2]!NonNurse[STATE], State112010[[#This Row],[State]], [2]!NonNurse[MDScensus])*60</f>
        <v>0.26400769350399145</v>
      </c>
      <c r="AF41" s="101">
        <f>RANK(State112010[[#This Row],[Total Pharmacist MPRD]],State112010[Total Pharmacist MPRD])</f>
        <v>29</v>
      </c>
      <c r="AG41" s="102">
        <f>(SUMIF([2]!NonNurse[STATE], State112010[[#This Row],[State]], [2]!NonNurse[Hrs_SpcLangPath]) + SUMIF([2]!NonNurse[STATE], State112010[[#This Row],[State]], [2]!NonNurse[Hrs_QualSocWrk])) / SUMIF([2]!NonNurse[STATE], State112010[[#This Row],[State]], [2]!NonNurse[MDScensus]) * 60</f>
        <v>6.0282322430535134</v>
      </c>
      <c r="AH41" s="101">
        <f>RANK(State112010[[#This Row],[Total Social Work MPRD]],State112010[Total Social Work MPRD])</f>
        <v>19</v>
      </c>
      <c r="AI41"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14.674984406267484</v>
      </c>
      <c r="AJ41" s="101">
        <f>RANK(State112010[[#This Row],[Total OT MPRD]],State112010[Total OT MPRD])</f>
        <v>36</v>
      </c>
      <c r="AK41"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14.08825822996028</v>
      </c>
      <c r="AL41" s="101">
        <f>RANK(State112010[[#This Row],[Total PT MPRD]],State112010[Total PT MPRD])</f>
        <v>30</v>
      </c>
      <c r="AM41" s="102">
        <f>(SUMIF([2]!NonNurse[STATE], State112010[[#This Row],[State]], [2]!NonNurse[MPRD: Total Social Work]) + SUMIF([2]!NonNurse[STATE], State112010[[#This Row],[State]], [2]!NonNurse[Hrs_QualActvProf])) / SUMIF([2]!NonNurse[STATE], State112010[[#This Row],[State]], [2]!NonNurse[MDScensus]) * 60</f>
        <v>5.6845100346233108</v>
      </c>
      <c r="AN41" s="109">
        <f>RANK(State112010[[#This Row],[Total Activities MPRD]], State112010[Total Activities MPRD])</f>
        <v>45</v>
      </c>
    </row>
    <row r="42" spans="23:41" ht="15" customHeight="1" x14ac:dyDescent="0.2">
      <c r="W42" s="23"/>
      <c r="X42" s="23" t="s">
        <v>98</v>
      </c>
      <c r="Y42" s="16">
        <f>SUMIF([2]!NonNurse[STATE], State112010[[#This Row],[State]], [2]!NonNurse[MDScensus])</f>
        <v>236.39999999999995</v>
      </c>
      <c r="Z42" s="16">
        <f>COUNTIF([2]!NonNurse[STATE], State112010[[#This Row],[State]])</f>
        <v>8</v>
      </c>
      <c r="AA42" s="17">
        <f>SUMIF([2]!NonNurse[STATE], State112010[[#This Row],[State]], [2]!NonNurse[Hrs_Admin])/SUMIF([2]!NonNurse[STATE], State112010[[#This Row],[State]], [2]!NonNurse[MDScensus])*60</f>
        <v>3.6717428087986472</v>
      </c>
      <c r="AB42" s="16">
        <f>RANK(State112010[[#This Row],[Total Admin MPRD]],State112010[Total Admin MPRD])</f>
        <v>34</v>
      </c>
      <c r="AC42" s="17">
        <f>SUMIF([2]!NonNurse[STATE], State112010[[#This Row],[State]], [2]!NonNurse[Hrs_MedDir])/SUMIF([2]!NonNurse[STATE], State112010[[#This Row],[State]], [2]!NonNurse[MDScensus])*60</f>
        <v>6.3268471517202505</v>
      </c>
      <c r="AD42" s="16">
        <f>RANK(State112010[[#This Row],[Total MedDir MPRD]],State112010[Total MedDir MPRD])</f>
        <v>1</v>
      </c>
      <c r="AE42" s="17">
        <f>SUMIF([2]!NonNurse[STATE], State112010[[#This Row],[State]], [2]!NonNurse[Hrs_Pharmacist])/SUMIF([2]!NonNurse[STATE], State112010[[#This Row],[State]], [2]!NonNurse[MDScensus])*60</f>
        <v>6.1459108855047955</v>
      </c>
      <c r="AF42" s="16">
        <f>RANK(State112010[[#This Row],[Total Pharmacist MPRD]],State112010[Total Pharmacist MPRD])</f>
        <v>1</v>
      </c>
      <c r="AG42" s="17">
        <f>(SUMIF([2]!NonNurse[STATE], State112010[[#This Row],[State]], [2]!NonNurse[Hrs_SpcLangPath]) + SUMIF([2]!NonNurse[STATE], State112010[[#This Row],[State]], [2]!NonNurse[Hrs_QualSocWrk])) / SUMIF([2]!NonNurse[STATE], State112010[[#This Row],[State]], [2]!NonNurse[MDScensus]) * 60</f>
        <v>14.451156232374508</v>
      </c>
      <c r="AH42" s="16">
        <f>RANK(State112010[[#This Row],[Total Social Work MPRD]],State112010[Total Social Work MPRD])</f>
        <v>1</v>
      </c>
      <c r="AI42"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14.202911319177424</v>
      </c>
      <c r="AJ42" s="16">
        <f>RANK(State112010[[#This Row],[Total OT MPRD]],State112010[Total OT MPRD])</f>
        <v>39</v>
      </c>
      <c r="AK42"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77.739514231899207</v>
      </c>
      <c r="AL42" s="16">
        <f>RANK(State112010[[#This Row],[Total PT MPRD]],State112010[Total PT MPRD])</f>
        <v>1</v>
      </c>
      <c r="AM42" s="17">
        <f>(SUMIF([2]!NonNurse[STATE], State112010[[#This Row],[State]], [2]!NonNurse[MPRD: Total Social Work]) + SUMIF([2]!NonNurse[STATE], State112010[[#This Row],[State]], [2]!NonNurse[Hrs_QualActvProf])) / SUMIF([2]!NonNurse[STATE], State112010[[#This Row],[State]], [2]!NonNurse[MDScensus]) * 60</f>
        <v>24.731874433438325</v>
      </c>
      <c r="AN42" s="36">
        <f>RANK(State112010[[#This Row],[Total Activities MPRD]], State112010[Total Activities MPRD])</f>
        <v>1</v>
      </c>
    </row>
    <row r="43" spans="23:41" ht="15" customHeight="1" x14ac:dyDescent="0.2">
      <c r="W43" s="23"/>
      <c r="X43" s="108" t="s">
        <v>99</v>
      </c>
      <c r="Y43" s="101">
        <f>SUMIF([2]!NonNurse[STATE], State112010[[#This Row],[State]], [2]!NonNurse[MDScensus])</f>
        <v>6888.8222222222203</v>
      </c>
      <c r="Z43" s="101">
        <f>COUNTIF([2]!NonNurse[STATE], State112010[[#This Row],[State]])</f>
        <v>71</v>
      </c>
      <c r="AA43" s="102">
        <f>SUMIF([2]!NonNurse[STATE], State112010[[#This Row],[State]], [2]!NonNurse[Hrs_Admin])/SUMIF([2]!NonNurse[STATE], State112010[[#This Row],[State]], [2]!NonNurse[MDScensus])*60</f>
        <v>3.4968115820475703</v>
      </c>
      <c r="AB43" s="101">
        <f>RANK(State112010[[#This Row],[Total Admin MPRD]],State112010[Total Admin MPRD])</f>
        <v>38</v>
      </c>
      <c r="AC43" s="102">
        <f>SUMIF([2]!NonNurse[STATE], State112010[[#This Row],[State]], [2]!NonNurse[Hrs_MedDir])/SUMIF([2]!NonNurse[STATE], State112010[[#This Row],[State]], [2]!NonNurse[MDScensus])*60</f>
        <v>0.18282467249683068</v>
      </c>
      <c r="AD43" s="101">
        <f>RANK(State112010[[#This Row],[Total MedDir MPRD]],State112010[Total MedDir MPRD])</f>
        <v>45</v>
      </c>
      <c r="AE43" s="102">
        <f>SUMIF([2]!NonNurse[STATE], State112010[[#This Row],[State]], [2]!NonNurse[Hrs_Pharmacist])/SUMIF([2]!NonNurse[STATE], State112010[[#This Row],[State]], [2]!NonNurse[MDScensus])*60</f>
        <v>0.29234605496182225</v>
      </c>
      <c r="AF43" s="101">
        <f>RANK(State112010[[#This Row],[Total Pharmacist MPRD]],State112010[Total Pharmacist MPRD])</f>
        <v>23</v>
      </c>
      <c r="AG43" s="102">
        <f>(SUMIF([2]!NonNurse[STATE], State112010[[#This Row],[State]], [2]!NonNurse[Hrs_SpcLangPath]) + SUMIF([2]!NonNurse[STATE], State112010[[#This Row],[State]], [2]!NonNurse[Hrs_QualSocWrk])) / SUMIF([2]!NonNurse[STATE], State112010[[#This Row],[State]], [2]!NonNurse[MDScensus]) * 60</f>
        <v>5.83208450404359</v>
      </c>
      <c r="AH43" s="101">
        <f>RANK(State112010[[#This Row],[Total Social Work MPRD]],State112010[Total Social Work MPRD])</f>
        <v>21</v>
      </c>
      <c r="AI43"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14.466074287159879</v>
      </c>
      <c r="AJ43" s="101">
        <f>RANK(State112010[[#This Row],[Total OT MPRD]],State112010[Total OT MPRD])</f>
        <v>37</v>
      </c>
      <c r="AK43"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12.097825989067406</v>
      </c>
      <c r="AL43" s="101">
        <f>RANK(State112010[[#This Row],[Total PT MPRD]],State112010[Total PT MPRD])</f>
        <v>40</v>
      </c>
      <c r="AM43" s="102">
        <f>(SUMIF([2]!NonNurse[STATE], State112010[[#This Row],[State]], [2]!NonNurse[MPRD: Total Social Work]) + SUMIF([2]!NonNurse[STATE], State112010[[#This Row],[State]], [2]!NonNurse[Hrs_QualActvProf])) / SUMIF([2]!NonNurse[STATE], State112010[[#This Row],[State]], [2]!NonNurse[MDScensus]) * 60</f>
        <v>7.846286583298677</v>
      </c>
      <c r="AN43" s="109">
        <f>RANK(State112010[[#This Row],[Total Activities MPRD]], State112010[Total Activities MPRD])</f>
        <v>21</v>
      </c>
    </row>
    <row r="44" spans="23:41" ht="15" customHeight="1" x14ac:dyDescent="0.2">
      <c r="W44" s="23"/>
      <c r="X44" s="23" t="s">
        <v>100</v>
      </c>
      <c r="Y44" s="16">
        <f>SUMIF([2]!NonNurse[STATE], State112010[[#This Row],[State]], [2]!NonNurse[MDScensus])</f>
        <v>17181.988888888882</v>
      </c>
      <c r="Z44" s="16">
        <f>COUNTIF([2]!NonNurse[STATE], State112010[[#This Row],[State]])</f>
        <v>186</v>
      </c>
      <c r="AA44" s="17">
        <f>SUMIF([2]!NonNurse[STATE], State112010[[#This Row],[State]], [2]!NonNurse[Hrs_Admin])/SUMIF([2]!NonNurse[STATE], State112010[[#This Row],[State]], [2]!NonNurse[MDScensus])*60</f>
        <v>3.5686982298647365</v>
      </c>
      <c r="AB44" s="16">
        <f>RANK(State112010[[#This Row],[Total Admin MPRD]],State112010[Total Admin MPRD])</f>
        <v>37</v>
      </c>
      <c r="AC44" s="17">
        <f>SUMIF([2]!NonNurse[STATE], State112010[[#This Row],[State]], [2]!NonNurse[Hrs_MedDir])/SUMIF([2]!NonNurse[STATE], State112010[[#This Row],[State]], [2]!NonNurse[MDScensus])*60</f>
        <v>0.23056779741576947</v>
      </c>
      <c r="AD44" s="16">
        <f>RANK(State112010[[#This Row],[Total MedDir MPRD]],State112010[Total MedDir MPRD])</f>
        <v>36</v>
      </c>
      <c r="AE44" s="17">
        <f>SUMIF([2]!NonNurse[STATE], State112010[[#This Row],[State]], [2]!NonNurse[Hrs_Pharmacist])/SUMIF([2]!NonNurse[STATE], State112010[[#This Row],[State]], [2]!NonNurse[MDScensus])*60</f>
        <v>0.33206633044033845</v>
      </c>
      <c r="AF44" s="16">
        <f>RANK(State112010[[#This Row],[Total Pharmacist MPRD]],State112010[Total Pharmacist MPRD])</f>
        <v>12</v>
      </c>
      <c r="AG44" s="17">
        <f>(SUMIF([2]!NonNurse[STATE], State112010[[#This Row],[State]], [2]!NonNurse[Hrs_SpcLangPath]) + SUMIF([2]!NonNurse[STATE], State112010[[#This Row],[State]], [2]!NonNurse[Hrs_QualSocWrk])) / SUMIF([2]!NonNurse[STATE], State112010[[#This Row],[State]], [2]!NonNurse[MDScensus]) * 60</f>
        <v>5.7855517955171436</v>
      </c>
      <c r="AH44" s="16">
        <f>RANK(State112010[[#This Row],[Total Social Work MPRD]],State112010[Total Social Work MPRD])</f>
        <v>23</v>
      </c>
      <c r="AI44"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14.110486332292117</v>
      </c>
      <c r="AJ44" s="16">
        <f>RANK(State112010[[#This Row],[Total OT MPRD]],State112010[Total OT MPRD])</f>
        <v>40</v>
      </c>
      <c r="AK44"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15.678585585014588</v>
      </c>
      <c r="AL44" s="16">
        <f>RANK(State112010[[#This Row],[Total PT MPRD]],State112010[Total PT MPRD])</f>
        <v>19</v>
      </c>
      <c r="AM44" s="17">
        <f>(SUMIF([2]!NonNurse[STATE], State112010[[#This Row],[State]], [2]!NonNurse[MPRD: Total Social Work]) + SUMIF([2]!NonNurse[STATE], State112010[[#This Row],[State]], [2]!NonNurse[Hrs_QualActvProf])) / SUMIF([2]!NonNurse[STATE], State112010[[#This Row],[State]], [2]!NonNurse[MDScensus]) * 60</f>
        <v>7.4406514096631149</v>
      </c>
      <c r="AN44" s="36">
        <f>RANK(State112010[[#This Row],[Total Activities MPRD]], State112010[Total Activities MPRD])</f>
        <v>25</v>
      </c>
    </row>
    <row r="45" spans="23:41" ht="15" customHeight="1" x14ac:dyDescent="0.2">
      <c r="W45" s="23"/>
      <c r="X45" s="108" t="s">
        <v>101</v>
      </c>
      <c r="Y45" s="101">
        <f>SUMIF([2]!NonNurse[STATE], State112010[[#This Row],[State]], [2]!NonNurse[MDScensus])</f>
        <v>4811.8333333333339</v>
      </c>
      <c r="Z45" s="101">
        <f>COUNTIF([2]!NonNurse[STATE], State112010[[#This Row],[State]])</f>
        <v>92</v>
      </c>
      <c r="AA45" s="102">
        <f>SUMIF([2]!NonNurse[STATE], State112010[[#This Row],[State]], [2]!NonNurse[Hrs_Admin])/SUMIF([2]!NonNurse[STATE], State112010[[#This Row],[State]], [2]!NonNurse[MDScensus])*60</f>
        <v>5.5608492951404527</v>
      </c>
      <c r="AB45" s="101">
        <f>RANK(State112010[[#This Row],[Total Admin MPRD]],State112010[Total Admin MPRD])</f>
        <v>6</v>
      </c>
      <c r="AC45" s="102">
        <f>SUMIF([2]!NonNurse[STATE], State112010[[#This Row],[State]], [2]!NonNurse[Hrs_MedDir])/SUMIF([2]!NonNurse[STATE], State112010[[#This Row],[State]], [2]!NonNurse[MDScensus])*60</f>
        <v>0.13447265422049803</v>
      </c>
      <c r="AD45" s="101">
        <f>RANK(State112010[[#This Row],[Total MedDir MPRD]],State112010[Total MedDir MPRD])</f>
        <v>51</v>
      </c>
      <c r="AE45" s="102">
        <f>SUMIF([2]!NonNurse[STATE], State112010[[#This Row],[State]], [2]!NonNurse[Hrs_Pharmacist])/SUMIF([2]!NonNurse[STATE], State112010[[#This Row],[State]], [2]!NonNurse[MDScensus])*60</f>
        <v>0.28359391777215892</v>
      </c>
      <c r="AF45" s="101">
        <f>RANK(State112010[[#This Row],[Total Pharmacist MPRD]],State112010[Total Pharmacist MPRD])</f>
        <v>25</v>
      </c>
      <c r="AG45" s="102">
        <f>(SUMIF([2]!NonNurse[STATE], State112010[[#This Row],[State]], [2]!NonNurse[Hrs_SpcLangPath]) + SUMIF([2]!NonNurse[STATE], State112010[[#This Row],[State]], [2]!NonNurse[Hrs_QualSocWrk])) / SUMIF([2]!NonNurse[STATE], State112010[[#This Row],[State]], [2]!NonNurse[MDScensus]) * 60</f>
        <v>4.579952201170725</v>
      </c>
      <c r="AH45" s="101">
        <f>RANK(State112010[[#This Row],[Total Social Work MPRD]],State112010[Total Social Work MPRD])</f>
        <v>44</v>
      </c>
      <c r="AI45"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20.717350654855665</v>
      </c>
      <c r="AJ45" s="101">
        <f>RANK(State112010[[#This Row],[Total OT MPRD]],State112010[Total OT MPRD])</f>
        <v>8</v>
      </c>
      <c r="AK45"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11.693591462351932</v>
      </c>
      <c r="AL45" s="101">
        <f>RANK(State112010[[#This Row],[Total PT MPRD]],State112010[Total PT MPRD])</f>
        <v>41</v>
      </c>
      <c r="AM45" s="102">
        <f>(SUMIF([2]!NonNurse[STATE], State112010[[#This Row],[State]], [2]!NonNurse[MPRD: Total Social Work]) + SUMIF([2]!NonNurse[STATE], State112010[[#This Row],[State]], [2]!NonNurse[Hrs_QualActvProf])) / SUMIF([2]!NonNurse[STATE], State112010[[#This Row],[State]], [2]!NonNurse[MDScensus]) * 60</f>
        <v>11.683412299440054</v>
      </c>
      <c r="AN45" s="109">
        <f>RANK(State112010[[#This Row],[Total Activities MPRD]], State112010[Total Activities MPRD])</f>
        <v>7</v>
      </c>
    </row>
    <row r="46" spans="23:41" ht="15" customHeight="1" x14ac:dyDescent="0.2">
      <c r="W46" s="23"/>
      <c r="X46" s="23" t="s">
        <v>102</v>
      </c>
      <c r="Y46" s="16">
        <f>SUMIF([2]!NonNurse[STATE], State112010[[#This Row],[State]], [2]!NonNurse[MDScensus])</f>
        <v>25378.811111111081</v>
      </c>
      <c r="Z46" s="16">
        <f>COUNTIF([2]!NonNurse[STATE], State112010[[#This Row],[State]])</f>
        <v>302</v>
      </c>
      <c r="AA46" s="17">
        <f>SUMIF([2]!NonNurse[STATE], State112010[[#This Row],[State]], [2]!NonNurse[Hrs_Admin])/SUMIF([2]!NonNurse[STATE], State112010[[#This Row],[State]], [2]!NonNurse[MDScensus])*60</f>
        <v>3.9519135166562855</v>
      </c>
      <c r="AB46" s="16">
        <f>RANK(State112010[[#This Row],[Total Admin MPRD]],State112010[Total Admin MPRD])</f>
        <v>27</v>
      </c>
      <c r="AC46" s="17">
        <f>SUMIF([2]!NonNurse[STATE], State112010[[#This Row],[State]], [2]!NonNurse[Hrs_MedDir])/SUMIF([2]!NonNurse[STATE], State112010[[#This Row],[State]], [2]!NonNurse[MDScensus])*60</f>
        <v>0.23910655126564512</v>
      </c>
      <c r="AD46" s="16">
        <f>RANK(State112010[[#This Row],[Total MedDir MPRD]],State112010[Total MedDir MPRD])</f>
        <v>31</v>
      </c>
      <c r="AE46" s="17">
        <f>SUMIF([2]!NonNurse[STATE], State112010[[#This Row],[State]], [2]!NonNurse[Hrs_Pharmacist])/SUMIF([2]!NonNurse[STATE], State112010[[#This Row],[State]], [2]!NonNurse[MDScensus])*60</f>
        <v>0.15950024801967358</v>
      </c>
      <c r="AF46" s="16">
        <f>RANK(State112010[[#This Row],[Total Pharmacist MPRD]],State112010[Total Pharmacist MPRD])</f>
        <v>47</v>
      </c>
      <c r="AG46" s="17">
        <f>(SUMIF([2]!NonNurse[STATE], State112010[[#This Row],[State]], [2]!NonNurse[Hrs_SpcLangPath]) + SUMIF([2]!NonNurse[STATE], State112010[[#This Row],[State]], [2]!NonNurse[Hrs_QualSocWrk])) / SUMIF([2]!NonNurse[STATE], State112010[[#This Row],[State]], [2]!NonNurse[MDScensus]) * 60</f>
        <v>7.3151196558108706</v>
      </c>
      <c r="AH46" s="16">
        <f>RANK(State112010[[#This Row],[Total Social Work MPRD]],State112010[Total Social Work MPRD])</f>
        <v>5</v>
      </c>
      <c r="AI46"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15.979941218235975</v>
      </c>
      <c r="AJ46" s="16">
        <f>RANK(State112010[[#This Row],[Total OT MPRD]],State112010[Total OT MPRD])</f>
        <v>29</v>
      </c>
      <c r="AK46"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19.033924125084951</v>
      </c>
      <c r="AL46" s="16">
        <f>RANK(State112010[[#This Row],[Total PT MPRD]],State112010[Total PT MPRD])</f>
        <v>10</v>
      </c>
      <c r="AM46" s="17">
        <f>(SUMIF([2]!NonNurse[STATE], State112010[[#This Row],[State]], [2]!NonNurse[MPRD: Total Social Work]) + SUMIF([2]!NonNurse[STATE], State112010[[#This Row],[State]], [2]!NonNurse[Hrs_QualActvProf])) / SUMIF([2]!NonNurse[STATE], State112010[[#This Row],[State]], [2]!NonNurse[MDScensus]) * 60</f>
        <v>7.7666611225019997</v>
      </c>
      <c r="AN46" s="36">
        <f>RANK(State112010[[#This Row],[Total Activities MPRD]], State112010[Total Activities MPRD])</f>
        <v>22</v>
      </c>
    </row>
    <row r="47" spans="23:41" ht="15" customHeight="1" x14ac:dyDescent="0.2">
      <c r="W47" s="23"/>
      <c r="X47" s="108" t="s">
        <v>103</v>
      </c>
      <c r="Y47" s="101">
        <f>SUMIF([2]!NonNurse[STATE], State112010[[#This Row],[State]], [2]!NonNurse[MDScensus])</f>
        <v>88184.899999999951</v>
      </c>
      <c r="Z47" s="101">
        <f>COUNTIF([2]!NonNurse[STATE], State112010[[#This Row],[State]])</f>
        <v>1163</v>
      </c>
      <c r="AA47" s="102">
        <f>SUMIF([2]!NonNurse[STATE], State112010[[#This Row],[State]], [2]!NonNurse[Hrs_Admin])/SUMIF([2]!NonNurse[STATE], State112010[[#This Row],[State]], [2]!NonNurse[MDScensus])*60</f>
        <v>4.3066840997343849</v>
      </c>
      <c r="AB47" s="101">
        <f>RANK(State112010[[#This Row],[Total Admin MPRD]],State112010[Total Admin MPRD])</f>
        <v>22</v>
      </c>
      <c r="AC47" s="102">
        <f>SUMIF([2]!NonNurse[STATE], State112010[[#This Row],[State]], [2]!NonNurse[Hrs_MedDir])/SUMIF([2]!NonNurse[STATE], State112010[[#This Row],[State]], [2]!NonNurse[MDScensus])*60</f>
        <v>0.19592296035564674</v>
      </c>
      <c r="AD47" s="101">
        <f>RANK(State112010[[#This Row],[Total MedDir MPRD]],State112010[Total MedDir MPRD])</f>
        <v>43</v>
      </c>
      <c r="AE47" s="102">
        <f>SUMIF([2]!NonNurse[STATE], State112010[[#This Row],[State]], [2]!NonNurse[Hrs_Pharmacist])/SUMIF([2]!NonNurse[STATE], State112010[[#This Row],[State]], [2]!NonNurse[MDScensus])*60</f>
        <v>0.1680373850852018</v>
      </c>
      <c r="AF47" s="101">
        <f>RANK(State112010[[#This Row],[Total Pharmacist MPRD]],State112010[Total Pharmacist MPRD])</f>
        <v>44</v>
      </c>
      <c r="AG47" s="102">
        <f>(SUMIF([2]!NonNurse[STATE], State112010[[#This Row],[State]], [2]!NonNurse[Hrs_SpcLangPath]) + SUMIF([2]!NonNurse[STATE], State112010[[#This Row],[State]], [2]!NonNurse[Hrs_QualSocWrk])) / SUMIF([2]!NonNurse[STATE], State112010[[#This Row],[State]], [2]!NonNurse[MDScensus]) * 60</f>
        <v>6.9854839093767778</v>
      </c>
      <c r="AH47" s="101">
        <f>RANK(State112010[[#This Row],[Total Social Work MPRD]],State112010[Total Social Work MPRD])</f>
        <v>7</v>
      </c>
      <c r="AI47"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15.666320502475632</v>
      </c>
      <c r="AJ47" s="101">
        <f>RANK(State112010[[#This Row],[Total OT MPRD]],State112010[Total OT MPRD])</f>
        <v>32</v>
      </c>
      <c r="AK47"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20.176617832357895</v>
      </c>
      <c r="AL47" s="101">
        <f>RANK(State112010[[#This Row],[Total PT MPRD]],State112010[Total PT MPRD])</f>
        <v>6</v>
      </c>
      <c r="AM47" s="102">
        <f>(SUMIF([2]!NonNurse[STATE], State112010[[#This Row],[State]], [2]!NonNurse[MPRD: Total Social Work]) + SUMIF([2]!NonNurse[STATE], State112010[[#This Row],[State]], [2]!NonNurse[Hrs_QualActvProf])) / SUMIF([2]!NonNurse[STATE], State112010[[#This Row],[State]], [2]!NonNurse[MDScensus]) * 60</f>
        <v>6.7633496268797284</v>
      </c>
      <c r="AN47" s="109">
        <f>RANK(State112010[[#This Row],[Total Activities MPRD]], State112010[Total Activities MPRD])</f>
        <v>33</v>
      </c>
    </row>
    <row r="48" spans="23:41" ht="15" customHeight="1" x14ac:dyDescent="0.2">
      <c r="W48" s="23"/>
      <c r="X48" s="23" t="s">
        <v>104</v>
      </c>
      <c r="Y48" s="16">
        <f>SUMIF([2]!NonNurse[STATE], State112010[[#This Row],[State]], [2]!NonNurse[MDScensus])</f>
        <v>5911.0444444444447</v>
      </c>
      <c r="Z48" s="16">
        <f>COUNTIF([2]!NonNurse[STATE], State112010[[#This Row],[State]])</f>
        <v>97</v>
      </c>
      <c r="AA48" s="17">
        <f>SUMIF([2]!NonNurse[STATE], State112010[[#This Row],[State]], [2]!NonNurse[Hrs_Admin])/SUMIF([2]!NonNurse[STATE], State112010[[#This Row],[State]], [2]!NonNurse[MDScensus])*60</f>
        <v>5.3915164456741955</v>
      </c>
      <c r="AB48" s="16">
        <f>RANK(State112010[[#This Row],[Total Admin MPRD]],State112010[Total Admin MPRD])</f>
        <v>10</v>
      </c>
      <c r="AC48" s="17">
        <f>SUMIF([2]!NonNurse[STATE], State112010[[#This Row],[State]], [2]!NonNurse[Hrs_MedDir])/SUMIF([2]!NonNurse[STATE], State112010[[#This Row],[State]], [2]!NonNurse[MDScensus])*60</f>
        <v>0.40335680477599362</v>
      </c>
      <c r="AD48" s="16">
        <f>RANK(State112010[[#This Row],[Total MedDir MPRD]],State112010[Total MedDir MPRD])</f>
        <v>7</v>
      </c>
      <c r="AE48" s="17">
        <f>SUMIF([2]!NonNurse[STATE], State112010[[#This Row],[State]], [2]!NonNurse[Hrs_Pharmacist])/SUMIF([2]!NonNurse[STATE], State112010[[#This Row],[State]], [2]!NonNurse[MDScensus])*60</f>
        <v>0.10871851938179755</v>
      </c>
      <c r="AF48" s="16">
        <f>RANK(State112010[[#This Row],[Total Pharmacist MPRD]],State112010[Total Pharmacist MPRD])</f>
        <v>51</v>
      </c>
      <c r="AG48" s="17">
        <f>(SUMIF([2]!NonNurse[STATE], State112010[[#This Row],[State]], [2]!NonNurse[Hrs_SpcLangPath]) + SUMIF([2]!NonNurse[STATE], State112010[[#This Row],[State]], [2]!NonNurse[Hrs_QualSocWrk])) / SUMIF([2]!NonNurse[STATE], State112010[[#This Row],[State]], [2]!NonNurse[MDScensus]) * 60</f>
        <v>4.5846979477212138</v>
      </c>
      <c r="AH48" s="16">
        <f>RANK(State112010[[#This Row],[Total Social Work MPRD]],State112010[Total Social Work MPRD])</f>
        <v>43</v>
      </c>
      <c r="AI48"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20.597089080368406</v>
      </c>
      <c r="AJ48" s="16">
        <f>RANK(State112010[[#This Row],[Total OT MPRD]],State112010[Total OT MPRD])</f>
        <v>9</v>
      </c>
      <c r="AK48"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25.016976921116445</v>
      </c>
      <c r="AL48" s="16">
        <f>RANK(State112010[[#This Row],[Total PT MPRD]],State112010[Total PT MPRD])</f>
        <v>2</v>
      </c>
      <c r="AM48" s="17">
        <f>(SUMIF([2]!NonNurse[STATE], State112010[[#This Row],[State]], [2]!NonNurse[MPRD: Total Social Work]) + SUMIF([2]!NonNurse[STATE], State112010[[#This Row],[State]], [2]!NonNurse[Hrs_QualActvProf])) / SUMIF([2]!NonNurse[STATE], State112010[[#This Row],[State]], [2]!NonNurse[MDScensus]) * 60</f>
        <v>11.598629075134905</v>
      </c>
      <c r="AN48" s="36">
        <f>RANK(State112010[[#This Row],[Total Activities MPRD]], State112010[Total Activities MPRD])</f>
        <v>9</v>
      </c>
    </row>
    <row r="49" spans="23:40" ht="15" customHeight="1" x14ac:dyDescent="0.2">
      <c r="W49" s="23"/>
      <c r="X49" s="108" t="s">
        <v>105</v>
      </c>
      <c r="Y49" s="101">
        <f>SUMIF([2]!NonNurse[STATE], State112010[[#This Row],[State]], [2]!NonNurse[MDScensus])</f>
        <v>28575.655555555568</v>
      </c>
      <c r="Z49" s="101">
        <f>COUNTIF([2]!NonNurse[STATE], State112010[[#This Row],[State]])</f>
        <v>287</v>
      </c>
      <c r="AA49" s="102">
        <f>SUMIF([2]!NonNurse[STATE], State112010[[#This Row],[State]], [2]!NonNurse[Hrs_Admin])/SUMIF([2]!NonNurse[STATE], State112010[[#This Row],[State]], [2]!NonNurse[MDScensus])*60</f>
        <v>3.3595204776093373</v>
      </c>
      <c r="AB49" s="101">
        <f>RANK(State112010[[#This Row],[Total Admin MPRD]],State112010[Total Admin MPRD])</f>
        <v>41</v>
      </c>
      <c r="AC49" s="102">
        <f>SUMIF([2]!NonNurse[STATE], State112010[[#This Row],[State]], [2]!NonNurse[Hrs_MedDir])/SUMIF([2]!NonNurse[STATE], State112010[[#This Row],[State]], [2]!NonNurse[MDScensus])*60</f>
        <v>0.22322310871452725</v>
      </c>
      <c r="AD49" s="101">
        <f>RANK(State112010[[#This Row],[Total MedDir MPRD]],State112010[Total MedDir MPRD])</f>
        <v>37</v>
      </c>
      <c r="AE49" s="102">
        <f>SUMIF([2]!NonNurse[STATE], State112010[[#This Row],[State]], [2]!NonNurse[Hrs_Pharmacist])/SUMIF([2]!NonNurse[STATE], State112010[[#This Row],[State]], [2]!NonNurse[MDScensus])*60</f>
        <v>0.27642200490005259</v>
      </c>
      <c r="AF49" s="101">
        <f>RANK(State112010[[#This Row],[Total Pharmacist MPRD]],State112010[Total Pharmacist MPRD])</f>
        <v>27</v>
      </c>
      <c r="AG49" s="102">
        <f>(SUMIF([2]!NonNurse[STATE], State112010[[#This Row],[State]], [2]!NonNurse[Hrs_SpcLangPath]) + SUMIF([2]!NonNurse[STATE], State112010[[#This Row],[State]], [2]!NonNurse[Hrs_QualSocWrk])) / SUMIF([2]!NonNurse[STATE], State112010[[#This Row],[State]], [2]!NonNurse[MDScensus]) * 60</f>
        <v>6.1659704122662289</v>
      </c>
      <c r="AH49" s="101">
        <f>RANK(State112010[[#This Row],[Total Social Work MPRD]],State112010[Total Social Work MPRD])</f>
        <v>15</v>
      </c>
      <c r="AI49"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13.877322095127806</v>
      </c>
      <c r="AJ49" s="101">
        <f>RANK(State112010[[#This Row],[Total OT MPRD]],State112010[Total OT MPRD])</f>
        <v>41</v>
      </c>
      <c r="AK49"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15.521251571209296</v>
      </c>
      <c r="AL49" s="101">
        <f>RANK(State112010[[#This Row],[Total PT MPRD]],State112010[Total PT MPRD])</f>
        <v>20</v>
      </c>
      <c r="AM49" s="102">
        <f>(SUMIF([2]!NonNurse[STATE], State112010[[#This Row],[State]], [2]!NonNurse[MPRD: Total Social Work]) + SUMIF([2]!NonNurse[STATE], State112010[[#This Row],[State]], [2]!NonNurse[Hrs_QualActvProf])) / SUMIF([2]!NonNurse[STATE], State112010[[#This Row],[State]], [2]!NonNurse[MDScensus]) * 60</f>
        <v>6.2591873420497581</v>
      </c>
      <c r="AN49" s="109">
        <f>RANK(State112010[[#This Row],[Total Activities MPRD]], State112010[Total Activities MPRD])</f>
        <v>37</v>
      </c>
    </row>
    <row r="50" spans="23:40" ht="15" customHeight="1" x14ac:dyDescent="0.2">
      <c r="W50" s="23"/>
      <c r="X50" s="23" t="s">
        <v>106</v>
      </c>
      <c r="Y50" s="16">
        <f>SUMIF([2]!NonNurse[STATE], State112010[[#This Row],[State]], [2]!NonNurse[MDScensus])</f>
        <v>2444.3555555555554</v>
      </c>
      <c r="Z50" s="16">
        <f>COUNTIF([2]!NonNurse[STATE], State112010[[#This Row],[State]])</f>
        <v>33</v>
      </c>
      <c r="AA50" s="17">
        <f>SUMIF([2]!NonNurse[STATE], State112010[[#This Row],[State]], [2]!NonNurse[Hrs_Admin])/SUMIF([2]!NonNurse[STATE], State112010[[#This Row],[State]], [2]!NonNurse[MDScensus])*60</f>
        <v>4.4014736899523612</v>
      </c>
      <c r="AB50" s="16">
        <f>RANK(State112010[[#This Row],[Total Admin MPRD]],State112010[Total Admin MPRD])</f>
        <v>19</v>
      </c>
      <c r="AC50" s="17">
        <f>SUMIF([2]!NonNurse[STATE], State112010[[#This Row],[State]], [2]!NonNurse[Hrs_MedDir])/SUMIF([2]!NonNurse[STATE], State112010[[#This Row],[State]], [2]!NonNurse[MDScensus])*60</f>
        <v>0.44899359976726433</v>
      </c>
      <c r="AD50" s="16">
        <f>RANK(State112010[[#This Row],[Total MedDir MPRD]],State112010[Total MedDir MPRD])</f>
        <v>5</v>
      </c>
      <c r="AE50" s="17">
        <f>SUMIF([2]!NonNurse[STATE], State112010[[#This Row],[State]], [2]!NonNurse[Hrs_Pharmacist])/SUMIF([2]!NonNurse[STATE], State112010[[#This Row],[State]], [2]!NonNurse[MDScensus])*60</f>
        <v>0.19136059493072474</v>
      </c>
      <c r="AF50" s="16">
        <f>RANK(State112010[[#This Row],[Total Pharmacist MPRD]],State112010[Total Pharmacist MPRD])</f>
        <v>41</v>
      </c>
      <c r="AG50" s="17">
        <f>(SUMIF([2]!NonNurse[STATE], State112010[[#This Row],[State]], [2]!NonNurse[Hrs_SpcLangPath]) + SUMIF([2]!NonNurse[STATE], State112010[[#This Row],[State]], [2]!NonNurse[Hrs_QualSocWrk])) / SUMIF([2]!NonNurse[STATE], State112010[[#This Row],[State]], [2]!NonNurse[MDScensus]) * 60</f>
        <v>6.120064365976944</v>
      </c>
      <c r="AH50" s="16">
        <f>RANK(State112010[[#This Row],[Total Social Work MPRD]],State112010[Total Social Work MPRD])</f>
        <v>17</v>
      </c>
      <c r="AI50"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22.777285296716585</v>
      </c>
      <c r="AJ50" s="16">
        <f>RANK(State112010[[#This Row],[Total OT MPRD]],State112010[Total OT MPRD])</f>
        <v>3</v>
      </c>
      <c r="AK50"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14.453578621891937</v>
      </c>
      <c r="AL50" s="16">
        <f>RANK(State112010[[#This Row],[Total PT MPRD]],State112010[Total PT MPRD])</f>
        <v>27</v>
      </c>
      <c r="AM50" s="17">
        <f>(SUMIF([2]!NonNurse[STATE], State112010[[#This Row],[State]], [2]!NonNurse[MPRD: Total Social Work]) + SUMIF([2]!NonNurse[STATE], State112010[[#This Row],[State]], [2]!NonNurse[Hrs_QualActvProf])) / SUMIF([2]!NonNurse[STATE], State112010[[#This Row],[State]], [2]!NonNurse[MDScensus]) * 60</f>
        <v>8.2381489624870632</v>
      </c>
      <c r="AN50" s="36">
        <f>RANK(State112010[[#This Row],[Total Activities MPRD]], State112010[Total Activities MPRD])</f>
        <v>20</v>
      </c>
    </row>
    <row r="51" spans="23:40" ht="15" customHeight="1" x14ac:dyDescent="0.2">
      <c r="W51" s="23"/>
      <c r="X51" s="108" t="s">
        <v>107</v>
      </c>
      <c r="Y51" s="101">
        <f>SUMIF([2]!NonNurse[STATE], State112010[[#This Row],[State]], [2]!NonNurse[MDScensus])</f>
        <v>14327.422222222222</v>
      </c>
      <c r="Z51" s="101">
        <f>COUNTIF([2]!NonNurse[STATE], State112010[[#This Row],[State]])</f>
        <v>187</v>
      </c>
      <c r="AA51" s="102">
        <f>SUMIF([2]!NonNurse[STATE], State112010[[#This Row],[State]], [2]!NonNurse[Hrs_Admin])/SUMIF([2]!NonNurse[STATE], State112010[[#This Row],[State]], [2]!NonNurse[MDScensus])*60</f>
        <v>4.3400470581666228</v>
      </c>
      <c r="AB51" s="101">
        <f>RANK(State112010[[#This Row],[Total Admin MPRD]],State112010[Total Admin MPRD])</f>
        <v>21</v>
      </c>
      <c r="AC51" s="102">
        <f>SUMIF([2]!NonNurse[STATE], State112010[[#This Row],[State]], [2]!NonNurse[Hrs_MedDir])/SUMIF([2]!NonNurse[STATE], State112010[[#This Row],[State]], [2]!NonNurse[MDScensus])*60</f>
        <v>0.31568228137495452</v>
      </c>
      <c r="AD51" s="101">
        <f>RANK(State112010[[#This Row],[Total MedDir MPRD]],State112010[Total MedDir MPRD])</f>
        <v>14</v>
      </c>
      <c r="AE51" s="102">
        <f>SUMIF([2]!NonNurse[STATE], State112010[[#This Row],[State]], [2]!NonNurse[Hrs_Pharmacist])/SUMIF([2]!NonNurse[STATE], State112010[[#This Row],[State]], [2]!NonNurse[MDScensus])*60</f>
        <v>0.3278649799762382</v>
      </c>
      <c r="AF51" s="101">
        <f>RANK(State112010[[#This Row],[Total Pharmacist MPRD]],State112010[Total Pharmacist MPRD])</f>
        <v>14</v>
      </c>
      <c r="AG51" s="102">
        <f>(SUMIF([2]!NonNurse[STATE], State112010[[#This Row],[State]], [2]!NonNurse[Hrs_SpcLangPath]) + SUMIF([2]!NonNurse[STATE], State112010[[#This Row],[State]], [2]!NonNurse[Hrs_QualSocWrk])) / SUMIF([2]!NonNurse[STATE], State112010[[#This Row],[State]], [2]!NonNurse[MDScensus]) * 60</f>
        <v>6.8011373682790079</v>
      </c>
      <c r="AH51" s="101">
        <f>RANK(State112010[[#This Row],[Total Social Work MPRD]],State112010[Total Social Work MPRD])</f>
        <v>9</v>
      </c>
      <c r="AI51"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16.688796973778068</v>
      </c>
      <c r="AJ51" s="101">
        <f>RANK(State112010[[#This Row],[Total OT MPRD]],State112010[Total OT MPRD])</f>
        <v>26</v>
      </c>
      <c r="AK51"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18.032140743371073</v>
      </c>
      <c r="AL51" s="101">
        <f>RANK(State112010[[#This Row],[Total PT MPRD]],State112010[Total PT MPRD])</f>
        <v>12</v>
      </c>
      <c r="AM51" s="102">
        <f>(SUMIF([2]!NonNurse[STATE], State112010[[#This Row],[State]], [2]!NonNurse[MPRD: Total Social Work]) + SUMIF([2]!NonNurse[STATE], State112010[[#This Row],[State]], [2]!NonNurse[Hrs_QualActvProf])) / SUMIF([2]!NonNurse[STATE], State112010[[#This Row],[State]], [2]!NonNurse[MDScensus]) * 60</f>
        <v>10.264284702842259</v>
      </c>
      <c r="AN51" s="109">
        <f>RANK(State112010[[#This Row],[Total Activities MPRD]], State112010[Total Activities MPRD])</f>
        <v>13</v>
      </c>
    </row>
    <row r="52" spans="23:40" ht="15" customHeight="1" x14ac:dyDescent="0.2">
      <c r="W52" s="23"/>
      <c r="X52" s="23" t="s">
        <v>108</v>
      </c>
      <c r="Y52" s="16">
        <f>SUMIF([2]!NonNurse[STATE], State112010[[#This Row],[State]], [2]!NonNurse[MDScensus])</f>
        <v>17658.799999999981</v>
      </c>
      <c r="Z52" s="16">
        <f>COUNTIF([2]!NonNurse[STATE], State112010[[#This Row],[State]])</f>
        <v>322</v>
      </c>
      <c r="AA52" s="17">
        <f>SUMIF([2]!NonNurse[STATE], State112010[[#This Row],[State]], [2]!NonNurse[Hrs_Admin])/SUMIF([2]!NonNurse[STATE], State112010[[#This Row],[State]], [2]!NonNurse[MDScensus])*60</f>
        <v>5.8383978526287192</v>
      </c>
      <c r="AB52" s="16">
        <f>RANK(State112010[[#This Row],[Total Admin MPRD]],State112010[Total Admin MPRD])</f>
        <v>3</v>
      </c>
      <c r="AC52" s="17">
        <f>SUMIF([2]!NonNurse[STATE], State112010[[#This Row],[State]], [2]!NonNurse[Hrs_MedDir])/SUMIF([2]!NonNurse[STATE], State112010[[#This Row],[State]], [2]!NonNurse[MDScensus])*60</f>
        <v>0.23222378266548913</v>
      </c>
      <c r="AD52" s="16">
        <f>RANK(State112010[[#This Row],[Total MedDir MPRD]],State112010[Total MedDir MPRD])</f>
        <v>35</v>
      </c>
      <c r="AE52" s="17">
        <f>SUMIF([2]!NonNurse[STATE], State112010[[#This Row],[State]], [2]!NonNurse[Hrs_Pharmacist])/SUMIF([2]!NonNurse[STATE], State112010[[#This Row],[State]], [2]!NonNurse[MDScensus])*60</f>
        <v>0.40563835972244289</v>
      </c>
      <c r="AF52" s="16">
        <f>RANK(State112010[[#This Row],[Total Pharmacist MPRD]],State112010[Total Pharmacist MPRD])</f>
        <v>8</v>
      </c>
      <c r="AG52" s="17">
        <f>(SUMIF([2]!NonNurse[STATE], State112010[[#This Row],[State]], [2]!NonNurse[Hrs_SpcLangPath]) + SUMIF([2]!NonNurse[STATE], State112010[[#This Row],[State]], [2]!NonNurse[Hrs_QualSocWrk])) / SUMIF([2]!NonNurse[STATE], State112010[[#This Row],[State]], [2]!NonNurse[MDScensus]) * 60</f>
        <v>7.7514413965463955</v>
      </c>
      <c r="AH52" s="16">
        <f>RANK(State112010[[#This Row],[Total Social Work MPRD]],State112010[Total Social Work MPRD])</f>
        <v>2</v>
      </c>
      <c r="AI52" s="17">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22.745839305095068</v>
      </c>
      <c r="AJ52" s="16">
        <f>RANK(State112010[[#This Row],[Total OT MPRD]],State112010[Total OT MPRD])</f>
        <v>4</v>
      </c>
      <c r="AK52" s="17">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17.190779499501602</v>
      </c>
      <c r="AL52" s="16">
        <f>RANK(State112010[[#This Row],[Total PT MPRD]],State112010[Total PT MPRD])</f>
        <v>14</v>
      </c>
      <c r="AM52" s="17">
        <f>(SUMIF([2]!NonNurse[STATE], State112010[[#This Row],[State]], [2]!NonNurse[MPRD: Total Social Work]) + SUMIF([2]!NonNurse[STATE], State112010[[#This Row],[State]], [2]!NonNurse[Hrs_QualActvProf])) / SUMIF([2]!NonNurse[STATE], State112010[[#This Row],[State]], [2]!NonNurse[MDScensus]) * 60</f>
        <v>14.212020171781649</v>
      </c>
      <c r="AN52" s="36">
        <f>RANK(State112010[[#This Row],[Total Activities MPRD]], State112010[Total Activities MPRD])</f>
        <v>3</v>
      </c>
    </row>
    <row r="53" spans="23:40" ht="15" customHeight="1" x14ac:dyDescent="0.2">
      <c r="W53" s="23"/>
      <c r="X53" s="108" t="s">
        <v>109</v>
      </c>
      <c r="Y53" s="101">
        <f>SUMIF([2]!NonNurse[STATE], State112010[[#This Row],[State]], [2]!NonNurse[MDScensus])</f>
        <v>9643.7333333333354</v>
      </c>
      <c r="Z53" s="101">
        <f>COUNTIF([2]!NonNurse[STATE], State112010[[#This Row],[State]])</f>
        <v>122</v>
      </c>
      <c r="AA53" s="102">
        <f>SUMIF([2]!NonNurse[STATE], State112010[[#This Row],[State]], [2]!NonNurse[Hrs_Admin])/SUMIF([2]!NonNurse[STATE], State112010[[#This Row],[State]], [2]!NonNurse[MDScensus])*60</f>
        <v>3.8004133945360041</v>
      </c>
      <c r="AB53" s="101">
        <f>RANK(State112010[[#This Row],[Total Admin MPRD]],State112010[Total Admin MPRD])</f>
        <v>30</v>
      </c>
      <c r="AC53" s="102">
        <f>SUMIF([2]!NonNurse[STATE], State112010[[#This Row],[State]], [2]!NonNurse[Hrs_MedDir])/SUMIF([2]!NonNurse[STATE], State112010[[#This Row],[State]], [2]!NonNurse[MDScensus])*60</f>
        <v>0.27801335582347075</v>
      </c>
      <c r="AD53" s="101">
        <f>RANK(State112010[[#This Row],[Total MedDir MPRD]],State112010[Total MedDir MPRD])</f>
        <v>23</v>
      </c>
      <c r="AE53" s="102">
        <f>SUMIF([2]!NonNurse[STATE], State112010[[#This Row],[State]], [2]!NonNurse[Hrs_Pharmacist])/SUMIF([2]!NonNurse[STATE], State112010[[#This Row],[State]], [2]!NonNurse[MDScensus])*60</f>
        <v>0.38850859971242108</v>
      </c>
      <c r="AF53" s="101">
        <f>RANK(State112010[[#This Row],[Total Pharmacist MPRD]],State112010[Total Pharmacist MPRD])</f>
        <v>9</v>
      </c>
      <c r="AG53" s="102">
        <f>(SUMIF([2]!NonNurse[STATE], State112010[[#This Row],[State]], [2]!NonNurse[Hrs_SpcLangPath]) + SUMIF([2]!NonNurse[STATE], State112010[[#This Row],[State]], [2]!NonNurse[Hrs_QualSocWrk])) / SUMIF([2]!NonNurse[STATE], State112010[[#This Row],[State]], [2]!NonNurse[MDScensus]) * 60</f>
        <v>7.6902575765955064</v>
      </c>
      <c r="AH53" s="101">
        <f>RANK(State112010[[#This Row],[Total Social Work MPRD]],State112010[Total Social Work MPRD])</f>
        <v>3</v>
      </c>
      <c r="AI53" s="102">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19.202554201575214</v>
      </c>
      <c r="AJ53" s="101">
        <f>RANK(State112010[[#This Row],[Total OT MPRD]],State112010[Total OT MPRD])</f>
        <v>13</v>
      </c>
      <c r="AK53" s="102">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13.876711019677757</v>
      </c>
      <c r="AL53" s="101">
        <f>RANK(State112010[[#This Row],[Total PT MPRD]],State112010[Total PT MPRD])</f>
        <v>31</v>
      </c>
      <c r="AM53" s="102">
        <f>(SUMIF([2]!NonNurse[STATE], State112010[[#This Row],[State]], [2]!NonNurse[MPRD: Total Social Work]) + SUMIF([2]!NonNurse[STATE], State112010[[#This Row],[State]], [2]!NonNurse[Hrs_QualActvProf])) / SUMIF([2]!NonNurse[STATE], State112010[[#This Row],[State]], [2]!NonNurse[MDScensus]) * 60</f>
        <v>7.4241714940465444</v>
      </c>
      <c r="AN53" s="109">
        <f>RANK(State112010[[#This Row],[Total Activities MPRD]], State112010[Total Activities MPRD])</f>
        <v>26</v>
      </c>
    </row>
    <row r="54" spans="23:40" ht="15" customHeight="1" thickBot="1" x14ac:dyDescent="0.25">
      <c r="W54" s="23"/>
      <c r="X54" s="110" t="s">
        <v>110</v>
      </c>
      <c r="Y54" s="104">
        <f>SUMIF([2]!NonNurse[STATE], State112010[[#This Row],[State]], [2]!NonNurse[MDScensus])</f>
        <v>1983.3666666666666</v>
      </c>
      <c r="Z54" s="104">
        <f>COUNTIF([2]!NonNurse[STATE], State112010[[#This Row],[State]])</f>
        <v>35</v>
      </c>
      <c r="AA54" s="105">
        <f>SUMIF([2]!NonNurse[STATE], State112010[[#This Row],[State]], [2]!NonNurse[Hrs_Admin])/SUMIF([2]!NonNurse[STATE], State112010[[#This Row],[State]], [2]!NonNurse[MDScensus])*60</f>
        <v>5.5272852557099874</v>
      </c>
      <c r="AB54" s="104">
        <f>RANK(State112010[[#This Row],[Total Admin MPRD]],State112010[Total Admin MPRD])</f>
        <v>7</v>
      </c>
      <c r="AC54" s="105">
        <f>SUMIF([2]!NonNurse[STATE], State112010[[#This Row],[State]], [2]!NonNurse[Hrs_MedDir])/SUMIF([2]!NonNurse[STATE], State112010[[#This Row],[State]], [2]!NonNurse[MDScensus])*60</f>
        <v>0.35991327876842405</v>
      </c>
      <c r="AD54" s="104">
        <f>RANK(State112010[[#This Row],[Total MedDir MPRD]],State112010[Total MedDir MPRD])</f>
        <v>10</v>
      </c>
      <c r="AE54" s="105">
        <f>SUMIF([2]!NonNurse[STATE], State112010[[#This Row],[State]], [2]!NonNurse[Hrs_Pharmacist])/SUMIF([2]!NonNurse[STATE], State112010[[#This Row],[State]], [2]!NonNurse[MDScensus])*60</f>
        <v>5.0265340078318026</v>
      </c>
      <c r="AF54" s="104">
        <f>RANK(State112010[[#This Row],[Total Pharmacist MPRD]],State112010[Total Pharmacist MPRD])</f>
        <v>2</v>
      </c>
      <c r="AG54" s="105">
        <f>(SUMIF([2]!NonNurse[STATE], State112010[[#This Row],[State]], [2]!NonNurse[Hrs_SpcLangPath]) + SUMIF([2]!NonNurse[STATE], State112010[[#This Row],[State]], [2]!NonNurse[Hrs_QualSocWrk])) / SUMIF([2]!NonNurse[STATE], State112010[[#This Row],[State]], [2]!NonNurse[MDScensus]) * 60</f>
        <v>4.5994285810322504</v>
      </c>
      <c r="AH54" s="104">
        <f>RANK(State112010[[#This Row],[Total Social Work MPRD]],State112010[Total Social Work MPRD])</f>
        <v>42</v>
      </c>
      <c r="AI54" s="105">
        <f>(SUMIF([2]!NonNurse[STATE], State112010[[#This Row],[State]], [2]!NonNurse[MPRD: Combined Activities]) + SUMIF([2]!NonNurse[STATE], State112010[[#This Row],[State]], [2]!NonNurse[Hrs_OT]) + SUMIF([2]!NonNurse[STATE], State112010[[#This Row],[State]], [2]!NonNurse[Hrs_OTasst])) / SUMIF([2]!NonNurse[STATE], State112010[[#This Row],[State]], [2]!NonNurse[MDScensus]) * 60</f>
        <v>21.19221412009934</v>
      </c>
      <c r="AJ54" s="104">
        <f>RANK(State112010[[#This Row],[Total OT MPRD]],State112010[Total OT MPRD])</f>
        <v>6</v>
      </c>
      <c r="AK54" s="105">
        <f>(SUMIF([2]!NonNurse[STATE], State112010[[#This Row],[State]], [2]!NonNurse[MPRD: OT (incl. Assistant &amp; Aide)]) + SUMIF([2]!NonNurse[STATE], State112010[[#This Row],[State]], [2]!NonNurse[Hrs_PT]) + SUMIF([2]!NonNurse[STATE], State112010[[#This Row],[State]], [2]!NonNurse[Hrs_PTasst])) / SUMIF([2]!NonNurse[STATE], State112010[[#This Row],[State]], [2]!NonNurse[MDScensus]) * 60</f>
        <v>10.936323414755634</v>
      </c>
      <c r="AL54" s="104">
        <f>RANK(State112010[[#This Row],[Total PT MPRD]],State112010[Total PT MPRD])</f>
        <v>44</v>
      </c>
      <c r="AM54" s="105">
        <f>(SUMIF([2]!NonNurse[STATE], State112010[[#This Row],[State]], [2]!NonNurse[MPRD: Total Social Work]) + SUMIF([2]!NonNurse[STATE], State112010[[#This Row],[State]], [2]!NonNurse[Hrs_QualActvProf])) / SUMIF([2]!NonNurse[STATE], State112010[[#This Row],[State]], [2]!NonNurse[MDScensus]) * 60</f>
        <v>9.678543519355399</v>
      </c>
      <c r="AN54" s="111">
        <f>RANK(State112010[[#This Row],[Total Activities MPRD]], State112010[Total Activities MPRD])</f>
        <v>15</v>
      </c>
    </row>
    <row r="55" spans="23:40" ht="15" customHeight="1" x14ac:dyDescent="0.2">
      <c r="AM55" s="23"/>
    </row>
    <row r="56" spans="23:40" x14ac:dyDescent="0.2">
      <c r="AM56" s="23"/>
    </row>
    <row r="57" spans="23:40" x14ac:dyDescent="0.2">
      <c r="AM57" s="23"/>
    </row>
    <row r="58" spans="23:40" x14ac:dyDescent="0.2">
      <c r="AM58" s="23"/>
    </row>
    <row r="59" spans="23:40" x14ac:dyDescent="0.2">
      <c r="AM59" s="23"/>
    </row>
    <row r="60" spans="23:40" x14ac:dyDescent="0.2">
      <c r="AM60" s="23"/>
    </row>
    <row r="61" spans="23:40" x14ac:dyDescent="0.2">
      <c r="AM61" s="23"/>
    </row>
    <row r="62" spans="23:40" x14ac:dyDescent="0.2">
      <c r="AM62" s="23"/>
    </row>
  </sheetData>
  <pageMargins left="0.7" right="0.7" top="0.75" bottom="0.75" header="0.3" footer="0.3"/>
  <drawing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F621D-C0B3-1C43-AD78-9ADAB6CCF56C}">
  <dimension ref="A1:G67"/>
  <sheetViews>
    <sheetView workbookViewId="0"/>
  </sheetViews>
  <sheetFormatPr baseColWidth="10" defaultColWidth="11" defaultRowHeight="16" x14ac:dyDescent="0.2"/>
  <cols>
    <col min="1" max="1" width="89.1640625" customWidth="1"/>
    <col min="3" max="3" width="36" bestFit="1" customWidth="1"/>
    <col min="4" max="4" width="59.5" bestFit="1" customWidth="1"/>
  </cols>
  <sheetData>
    <row r="1" spans="1:7" x14ac:dyDescent="0.2">
      <c r="A1" s="1"/>
      <c r="B1" s="1"/>
      <c r="C1" s="1"/>
      <c r="D1" s="1"/>
      <c r="E1" s="1"/>
      <c r="F1" s="1"/>
      <c r="G1" s="1"/>
    </row>
    <row r="2" spans="1:7" ht="24" x14ac:dyDescent="0.3">
      <c r="A2" s="1"/>
      <c r="B2" s="1"/>
      <c r="C2" s="2" t="s">
        <v>158</v>
      </c>
      <c r="D2" s="3"/>
      <c r="E2" s="1"/>
      <c r="F2" s="1"/>
      <c r="G2" s="1"/>
    </row>
    <row r="3" spans="1:7" x14ac:dyDescent="0.2">
      <c r="A3" s="1"/>
      <c r="B3" s="1"/>
      <c r="C3" s="4" t="s">
        <v>53</v>
      </c>
      <c r="D3" s="5" t="s">
        <v>159</v>
      </c>
      <c r="E3" s="1"/>
      <c r="F3" s="1"/>
      <c r="G3" s="1"/>
    </row>
    <row r="4" spans="1:7" x14ac:dyDescent="0.2">
      <c r="A4" s="1"/>
      <c r="B4" s="1"/>
      <c r="C4" s="6" t="s">
        <v>20</v>
      </c>
      <c r="D4" s="7" t="s">
        <v>160</v>
      </c>
      <c r="E4" s="1"/>
      <c r="F4" s="1"/>
      <c r="G4" s="1"/>
    </row>
    <row r="5" spans="1:7" x14ac:dyDescent="0.2">
      <c r="A5" s="1"/>
      <c r="B5" s="1"/>
      <c r="C5" s="6" t="s">
        <v>113</v>
      </c>
      <c r="D5" s="7" t="s">
        <v>161</v>
      </c>
      <c r="E5" s="1"/>
      <c r="F5" s="1"/>
      <c r="G5" s="1"/>
    </row>
    <row r="6" spans="1:7" x14ac:dyDescent="0.2">
      <c r="A6" s="1"/>
      <c r="B6" s="1"/>
      <c r="C6" s="6" t="s">
        <v>162</v>
      </c>
      <c r="D6" s="7" t="s">
        <v>163</v>
      </c>
      <c r="E6" s="1"/>
      <c r="F6" s="1"/>
      <c r="G6" s="1"/>
    </row>
    <row r="7" spans="1:7" x14ac:dyDescent="0.2">
      <c r="A7" s="1"/>
      <c r="B7" s="1"/>
      <c r="C7" s="6" t="s">
        <v>58</v>
      </c>
      <c r="D7" s="7" t="s">
        <v>164</v>
      </c>
      <c r="E7" s="1"/>
      <c r="F7" s="1"/>
      <c r="G7" s="1"/>
    </row>
    <row r="8" spans="1:7" x14ac:dyDescent="0.2">
      <c r="A8" s="1"/>
      <c r="B8" s="1"/>
      <c r="C8" s="6" t="s">
        <v>56</v>
      </c>
      <c r="D8" s="7" t="s">
        <v>165</v>
      </c>
      <c r="E8" s="1"/>
      <c r="F8" s="1"/>
      <c r="G8" s="1"/>
    </row>
    <row r="9" spans="1:7" x14ac:dyDescent="0.2">
      <c r="A9" s="1"/>
      <c r="B9" s="1"/>
      <c r="C9" s="6" t="s">
        <v>166</v>
      </c>
      <c r="D9" s="7" t="s">
        <v>167</v>
      </c>
      <c r="E9" s="1"/>
      <c r="F9" s="1"/>
      <c r="G9" s="1"/>
    </row>
    <row r="10" spans="1:7" x14ac:dyDescent="0.2">
      <c r="A10" s="1"/>
      <c r="B10" s="8"/>
      <c r="C10" s="9" t="s">
        <v>168</v>
      </c>
      <c r="D10" s="6" t="s">
        <v>169</v>
      </c>
      <c r="E10" s="1"/>
      <c r="F10" s="1"/>
      <c r="G10" s="1"/>
    </row>
    <row r="11" spans="1:7" x14ac:dyDescent="0.2">
      <c r="A11" s="1"/>
      <c r="B11" s="1"/>
      <c r="C11" s="6" t="s">
        <v>136</v>
      </c>
      <c r="D11" s="7" t="s">
        <v>170</v>
      </c>
      <c r="E11" s="1"/>
      <c r="F11" s="1"/>
      <c r="G11" s="1"/>
    </row>
    <row r="12" spans="1:7" x14ac:dyDescent="0.2">
      <c r="A12" s="1"/>
      <c r="B12" s="1"/>
      <c r="C12" s="6" t="s">
        <v>97</v>
      </c>
      <c r="D12" s="7" t="s">
        <v>124</v>
      </c>
      <c r="E12" s="1"/>
      <c r="F12" s="1"/>
      <c r="G12" s="1"/>
    </row>
    <row r="13" spans="1:7" x14ac:dyDescent="0.2">
      <c r="A13" s="1"/>
      <c r="B13" s="1"/>
      <c r="C13" s="6" t="s">
        <v>140</v>
      </c>
      <c r="D13" s="7" t="s">
        <v>171</v>
      </c>
      <c r="E13" s="1"/>
      <c r="F13" s="1"/>
      <c r="G13" s="1"/>
    </row>
    <row r="14" spans="1:7" x14ac:dyDescent="0.2">
      <c r="A14" s="1"/>
      <c r="B14" s="1"/>
      <c r="C14" s="6" t="s">
        <v>136</v>
      </c>
      <c r="D14" s="7" t="s">
        <v>170</v>
      </c>
      <c r="E14" s="1"/>
      <c r="F14" s="1"/>
      <c r="G14" s="1"/>
    </row>
    <row r="15" spans="1:7" x14ac:dyDescent="0.2">
      <c r="A15" s="1"/>
      <c r="B15" s="1"/>
      <c r="C15" s="6" t="s">
        <v>97</v>
      </c>
      <c r="D15" s="7" t="s">
        <v>172</v>
      </c>
      <c r="E15" s="1"/>
      <c r="F15" s="1"/>
      <c r="G15" s="1"/>
    </row>
    <row r="16" spans="1:7" x14ac:dyDescent="0.2">
      <c r="A16" s="1"/>
      <c r="B16" s="1"/>
      <c r="C16" s="10" t="s">
        <v>140</v>
      </c>
      <c r="D16" s="11" t="s">
        <v>171</v>
      </c>
      <c r="E16" s="1"/>
      <c r="F16" s="1"/>
      <c r="G16" s="1"/>
    </row>
    <row r="17" spans="1:7" x14ac:dyDescent="0.2">
      <c r="A17" s="1"/>
      <c r="B17" s="1"/>
      <c r="C17" s="1"/>
      <c r="D17" s="1"/>
      <c r="E17" s="1"/>
      <c r="F17" s="1"/>
      <c r="G17" s="1"/>
    </row>
    <row r="18" spans="1:7" ht="24" x14ac:dyDescent="0.3">
      <c r="A18" s="1"/>
      <c r="B18" s="1"/>
      <c r="C18" s="2" t="s">
        <v>173</v>
      </c>
      <c r="D18" s="3"/>
      <c r="E18" s="1"/>
      <c r="F18" s="1"/>
      <c r="G18" s="1"/>
    </row>
    <row r="19" spans="1:7" x14ac:dyDescent="0.2">
      <c r="A19" s="1"/>
      <c r="B19" s="1"/>
      <c r="C19" s="6" t="s">
        <v>20</v>
      </c>
      <c r="D19" s="7" t="s">
        <v>174</v>
      </c>
      <c r="E19" s="1"/>
      <c r="F19" s="1"/>
      <c r="G19" s="1"/>
    </row>
    <row r="20" spans="1:7" x14ac:dyDescent="0.2">
      <c r="A20" s="1"/>
      <c r="B20" s="1"/>
      <c r="C20" s="6" t="s">
        <v>113</v>
      </c>
      <c r="D20" s="7" t="s">
        <v>175</v>
      </c>
      <c r="E20" s="1"/>
      <c r="F20" s="1"/>
      <c r="G20" s="1"/>
    </row>
    <row r="21" spans="1:7" x14ac:dyDescent="0.2">
      <c r="A21" s="1"/>
      <c r="B21" s="1"/>
      <c r="C21" s="6" t="s">
        <v>176</v>
      </c>
      <c r="D21" s="7" t="s">
        <v>177</v>
      </c>
      <c r="E21" s="1"/>
      <c r="F21" s="1"/>
      <c r="G21" s="1"/>
    </row>
    <row r="22" spans="1:7" x14ac:dyDescent="0.2">
      <c r="A22" s="1"/>
      <c r="B22" s="1"/>
      <c r="C22" s="9" t="s">
        <v>26</v>
      </c>
      <c r="D22" s="6" t="s">
        <v>178</v>
      </c>
      <c r="E22" s="1"/>
      <c r="F22" s="1"/>
      <c r="G22" s="1"/>
    </row>
    <row r="23" spans="1:7" x14ac:dyDescent="0.2">
      <c r="A23" s="1"/>
      <c r="B23" s="1"/>
      <c r="C23" s="6" t="s">
        <v>179</v>
      </c>
      <c r="D23" s="7" t="s">
        <v>180</v>
      </c>
      <c r="E23" s="1"/>
      <c r="F23" s="1"/>
      <c r="G23" s="1"/>
    </row>
    <row r="24" spans="1:7" x14ac:dyDescent="0.2">
      <c r="A24" s="1"/>
      <c r="B24" s="1"/>
      <c r="C24" s="6" t="s">
        <v>181</v>
      </c>
      <c r="D24" s="7" t="s">
        <v>182</v>
      </c>
      <c r="E24" s="1"/>
      <c r="F24" s="1"/>
      <c r="G24" s="1"/>
    </row>
    <row r="25" spans="1:7" x14ac:dyDescent="0.2">
      <c r="A25" s="1"/>
      <c r="B25" s="1"/>
      <c r="C25" s="6" t="s">
        <v>183</v>
      </c>
      <c r="D25" s="7" t="s">
        <v>184</v>
      </c>
      <c r="E25" s="1"/>
      <c r="F25" s="1"/>
      <c r="G25" s="1"/>
    </row>
    <row r="26" spans="1:7" x14ac:dyDescent="0.2">
      <c r="A26" s="1"/>
      <c r="B26" s="1"/>
      <c r="C26" s="6" t="s">
        <v>119</v>
      </c>
      <c r="D26" s="7" t="s">
        <v>185</v>
      </c>
      <c r="E26" s="1"/>
      <c r="F26" s="1"/>
      <c r="G26" s="1"/>
    </row>
    <row r="27" spans="1:7" x14ac:dyDescent="0.2">
      <c r="A27" s="1"/>
      <c r="B27" s="1"/>
      <c r="C27" s="10" t="s">
        <v>29</v>
      </c>
      <c r="D27" s="11" t="s">
        <v>186</v>
      </c>
      <c r="E27" s="1"/>
      <c r="F27" s="1"/>
      <c r="G27" s="1"/>
    </row>
    <row r="28" spans="1:7" x14ac:dyDescent="0.2">
      <c r="A28" s="1"/>
      <c r="B28" s="1"/>
      <c r="C28" s="1"/>
      <c r="D28" s="1"/>
      <c r="E28" s="1"/>
      <c r="F28" s="1"/>
      <c r="G28" s="1"/>
    </row>
    <row r="29" spans="1:7" x14ac:dyDescent="0.2">
      <c r="A29" s="1"/>
      <c r="B29" s="1"/>
      <c r="C29" s="1"/>
      <c r="D29" s="1"/>
      <c r="E29" s="1"/>
      <c r="F29" s="1"/>
      <c r="G29" s="1"/>
    </row>
    <row r="30" spans="1:7" x14ac:dyDescent="0.2">
      <c r="A30" s="1"/>
      <c r="B30" s="1"/>
      <c r="C30" s="1"/>
      <c r="D30" s="1"/>
      <c r="E30" s="1"/>
      <c r="F30" s="1"/>
      <c r="G30" s="1"/>
    </row>
    <row r="31" spans="1:7" x14ac:dyDescent="0.2">
      <c r="A31" s="1"/>
      <c r="B31" s="1"/>
      <c r="C31" s="1"/>
      <c r="D31" s="1"/>
      <c r="E31" s="1"/>
      <c r="F31" s="1"/>
      <c r="G31" s="1"/>
    </row>
    <row r="32" spans="1:7" x14ac:dyDescent="0.2">
      <c r="A32" s="1"/>
      <c r="B32" s="1"/>
      <c r="C32" s="1"/>
      <c r="D32" s="1"/>
      <c r="E32" s="1"/>
      <c r="F32" s="1"/>
      <c r="G32" s="1"/>
    </row>
    <row r="33" spans="1:7" x14ac:dyDescent="0.2">
      <c r="A33" s="1"/>
      <c r="B33" s="1"/>
      <c r="C33" s="1"/>
      <c r="D33" s="1"/>
      <c r="E33" s="1"/>
      <c r="F33" s="1"/>
      <c r="G33" s="1"/>
    </row>
    <row r="34" spans="1:7" x14ac:dyDescent="0.2">
      <c r="A34" s="1"/>
      <c r="B34" s="1"/>
      <c r="C34" s="1"/>
      <c r="D34" s="1"/>
      <c r="E34" s="1"/>
      <c r="F34" s="1"/>
      <c r="G34" s="1"/>
    </row>
    <row r="35" spans="1:7" x14ac:dyDescent="0.2">
      <c r="A35" s="1"/>
      <c r="B35" s="1"/>
      <c r="C35" s="1"/>
      <c r="D35" s="1"/>
      <c r="E35" s="1"/>
      <c r="F35" s="1"/>
      <c r="G35" s="1"/>
    </row>
    <row r="36" spans="1:7" x14ac:dyDescent="0.2">
      <c r="A36" s="1"/>
      <c r="B36" s="1"/>
      <c r="C36" s="1"/>
      <c r="D36" s="1"/>
      <c r="E36" s="1"/>
      <c r="F36" s="1"/>
      <c r="G36" s="1"/>
    </row>
    <row r="37" spans="1:7" x14ac:dyDescent="0.2">
      <c r="A37" s="1"/>
      <c r="B37" s="1"/>
      <c r="C37" s="1"/>
      <c r="D37" s="1"/>
      <c r="E37" s="1"/>
      <c r="F37" s="1"/>
      <c r="G37" s="1"/>
    </row>
    <row r="38" spans="1:7" x14ac:dyDescent="0.2">
      <c r="A38" s="1"/>
      <c r="B38" s="1"/>
      <c r="C38" s="1"/>
      <c r="D38" s="1"/>
      <c r="E38" s="1"/>
      <c r="F38" s="1"/>
      <c r="G38" s="1"/>
    </row>
    <row r="39" spans="1:7" x14ac:dyDescent="0.2">
      <c r="A39" s="1"/>
      <c r="B39" s="1"/>
      <c r="C39" s="1"/>
      <c r="D39" s="1"/>
      <c r="E39" s="1"/>
      <c r="F39" s="1"/>
      <c r="G39" s="1"/>
    </row>
    <row r="40" spans="1:7" x14ac:dyDescent="0.2">
      <c r="A40" s="1"/>
      <c r="B40" s="1"/>
      <c r="C40" s="1"/>
      <c r="D40" s="1"/>
      <c r="E40" s="1"/>
      <c r="F40" s="1"/>
      <c r="G40" s="1"/>
    </row>
    <row r="41" spans="1:7" x14ac:dyDescent="0.2">
      <c r="A41" s="1"/>
      <c r="B41" s="1"/>
      <c r="C41" s="1"/>
      <c r="D41" s="1"/>
      <c r="E41" s="1"/>
      <c r="F41" s="1"/>
      <c r="G41" s="1"/>
    </row>
    <row r="42" spans="1:7" x14ac:dyDescent="0.2">
      <c r="A42" s="1"/>
      <c r="B42" s="1"/>
      <c r="C42" s="1"/>
      <c r="D42" s="1"/>
      <c r="E42" s="1"/>
      <c r="F42" s="1"/>
      <c r="G42" s="1"/>
    </row>
    <row r="43" spans="1:7" x14ac:dyDescent="0.2">
      <c r="A43" s="1"/>
      <c r="B43" s="1"/>
      <c r="C43" s="1"/>
      <c r="D43" s="1"/>
      <c r="E43" s="1"/>
      <c r="F43" s="1"/>
      <c r="G43" s="1"/>
    </row>
    <row r="44" spans="1:7" x14ac:dyDescent="0.2">
      <c r="A44" s="1"/>
      <c r="B44" s="1"/>
      <c r="C44" s="1"/>
      <c r="D44" s="1"/>
      <c r="E44" s="1"/>
      <c r="F44" s="1"/>
      <c r="G44" s="1"/>
    </row>
    <row r="45" spans="1:7" x14ac:dyDescent="0.2">
      <c r="A45" s="1"/>
      <c r="B45" s="1"/>
      <c r="C45" s="1"/>
      <c r="D45" s="1"/>
      <c r="E45" s="1"/>
      <c r="F45" s="1"/>
      <c r="G45" s="1"/>
    </row>
    <row r="46" spans="1:7" x14ac:dyDescent="0.2">
      <c r="A46" s="1"/>
      <c r="B46" s="1"/>
      <c r="C46" s="1"/>
      <c r="D46" s="1"/>
      <c r="E46" s="1"/>
      <c r="F46" s="1"/>
      <c r="G46" s="1"/>
    </row>
    <row r="47" spans="1:7" x14ac:dyDescent="0.2">
      <c r="A47" s="1"/>
      <c r="B47" s="1"/>
      <c r="C47" s="1"/>
      <c r="D47" s="1"/>
      <c r="E47" s="1"/>
      <c r="F47" s="1"/>
      <c r="G47" s="1"/>
    </row>
    <row r="48" spans="1:7" x14ac:dyDescent="0.2">
      <c r="A48" s="1"/>
      <c r="B48" s="1"/>
      <c r="C48" s="1"/>
      <c r="D48" s="1"/>
      <c r="E48" s="1"/>
      <c r="F48" s="1"/>
      <c r="G48" s="1"/>
    </row>
    <row r="49" spans="1:7" x14ac:dyDescent="0.2">
      <c r="A49" s="1"/>
      <c r="B49" s="1"/>
      <c r="C49" s="1"/>
      <c r="D49" s="1"/>
      <c r="E49" s="1"/>
      <c r="F49" s="1"/>
      <c r="G49" s="1"/>
    </row>
    <row r="50" spans="1:7" x14ac:dyDescent="0.2">
      <c r="A50" s="1"/>
      <c r="B50" s="1"/>
      <c r="C50" s="1"/>
      <c r="D50" s="1"/>
      <c r="E50" s="1"/>
      <c r="F50" s="1"/>
      <c r="G50" s="1"/>
    </row>
    <row r="51" spans="1:7" x14ac:dyDescent="0.2">
      <c r="A51" s="1"/>
      <c r="B51" s="1"/>
      <c r="C51" s="1"/>
      <c r="D51" s="1"/>
      <c r="E51" s="1"/>
      <c r="F51" s="1"/>
      <c r="G51" s="1"/>
    </row>
    <row r="52" spans="1:7" x14ac:dyDescent="0.2">
      <c r="A52" s="1"/>
      <c r="B52" s="1"/>
      <c r="C52" s="1"/>
      <c r="D52" s="1"/>
      <c r="E52" s="1"/>
      <c r="F52" s="1"/>
      <c r="G52" s="1"/>
    </row>
    <row r="53" spans="1:7" x14ac:dyDescent="0.2">
      <c r="A53" s="1"/>
      <c r="B53" s="1"/>
      <c r="C53" s="1"/>
      <c r="D53" s="1"/>
      <c r="E53" s="1"/>
      <c r="F53" s="1"/>
      <c r="G53" s="1"/>
    </row>
    <row r="54" spans="1:7" x14ac:dyDescent="0.2">
      <c r="A54" s="1"/>
      <c r="B54" s="1"/>
      <c r="C54" s="1"/>
      <c r="D54" s="1"/>
      <c r="E54" s="1"/>
      <c r="F54" s="1"/>
      <c r="G54" s="1"/>
    </row>
    <row r="55" spans="1:7" x14ac:dyDescent="0.2">
      <c r="A55" s="1"/>
      <c r="B55" s="1"/>
      <c r="C55" s="1"/>
      <c r="D55" s="1"/>
      <c r="E55" s="1"/>
      <c r="F55" s="1"/>
      <c r="G55" s="1"/>
    </row>
    <row r="56" spans="1:7" x14ac:dyDescent="0.2">
      <c r="A56" s="1"/>
      <c r="B56" s="1"/>
      <c r="C56" s="1"/>
      <c r="D56" s="1"/>
      <c r="E56" s="1"/>
      <c r="F56" s="1"/>
      <c r="G56" s="1"/>
    </row>
    <row r="57" spans="1:7" x14ac:dyDescent="0.2">
      <c r="A57" s="1"/>
      <c r="B57" s="1"/>
      <c r="C57" s="1"/>
      <c r="D57" s="1"/>
      <c r="E57" s="1"/>
      <c r="F57" s="1"/>
      <c r="G57" s="1"/>
    </row>
    <row r="58" spans="1:7" x14ac:dyDescent="0.2">
      <c r="A58" s="1"/>
      <c r="B58" s="1"/>
      <c r="C58" s="1"/>
      <c r="D58" s="1"/>
      <c r="E58" s="1"/>
      <c r="F58" s="1"/>
      <c r="G58" s="1"/>
    </row>
    <row r="59" spans="1:7" x14ac:dyDescent="0.2">
      <c r="A59" s="1"/>
      <c r="B59" s="1"/>
      <c r="C59" s="1"/>
      <c r="D59" s="1"/>
      <c r="E59" s="1"/>
      <c r="F59" s="1"/>
      <c r="G59" s="1"/>
    </row>
    <row r="60" spans="1:7" x14ac:dyDescent="0.2">
      <c r="A60" s="1"/>
      <c r="B60" s="1"/>
      <c r="C60" s="1"/>
      <c r="D60" s="1"/>
      <c r="E60" s="1"/>
      <c r="F60" s="1"/>
      <c r="G60" s="1"/>
    </row>
    <row r="61" spans="1:7" x14ac:dyDescent="0.2">
      <c r="A61" s="1"/>
      <c r="B61" s="1"/>
      <c r="C61" s="1"/>
      <c r="D61" s="1"/>
      <c r="E61" s="1"/>
      <c r="F61" s="1"/>
      <c r="G61" s="1"/>
    </row>
    <row r="62" spans="1:7" x14ac:dyDescent="0.2">
      <c r="A62" s="1"/>
      <c r="B62" s="1"/>
      <c r="C62" s="1"/>
      <c r="D62" s="1"/>
      <c r="E62" s="1"/>
      <c r="F62" s="1"/>
      <c r="G62" s="1"/>
    </row>
    <row r="63" spans="1:7" x14ac:dyDescent="0.2">
      <c r="A63" s="1"/>
      <c r="B63" s="1"/>
      <c r="C63" s="1"/>
      <c r="D63" s="1"/>
      <c r="E63" s="1"/>
      <c r="F63" s="1"/>
      <c r="G63" s="1"/>
    </row>
    <row r="64" spans="1:7" x14ac:dyDescent="0.2">
      <c r="A64" s="1"/>
      <c r="B64" s="1"/>
      <c r="C64" s="1"/>
      <c r="D64" s="1"/>
      <c r="E64" s="1"/>
      <c r="F64" s="1"/>
      <c r="G64" s="1"/>
    </row>
    <row r="65" spans="1:7" x14ac:dyDescent="0.2">
      <c r="A65" s="1"/>
      <c r="B65" s="1"/>
      <c r="C65" s="1"/>
      <c r="D65" s="1"/>
      <c r="E65" s="1"/>
      <c r="F65" s="1"/>
      <c r="G65" s="1"/>
    </row>
    <row r="66" spans="1:7" x14ac:dyDescent="0.2">
      <c r="A66" s="1"/>
      <c r="B66" s="1"/>
      <c r="C66" s="1"/>
      <c r="D66" s="1"/>
      <c r="E66" s="1"/>
      <c r="F66" s="1"/>
      <c r="G66" s="1"/>
    </row>
    <row r="67" spans="1:7" x14ac:dyDescent="0.2">
      <c r="A67" s="1"/>
      <c r="B67" s="1"/>
      <c r="C67" s="1"/>
      <c r="D67" s="1"/>
      <c r="E67" s="1"/>
      <c r="F67" s="1"/>
      <c r="G67" s="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3AD50FCD1AE5478694B8164822C48D" ma:contentTypeVersion="3" ma:contentTypeDescription="Create a new document." ma:contentTypeScope="" ma:versionID="88f33cf6eae2ad76e492b8279c3e4f5a">
  <xsd:schema xmlns:xsd="http://www.w3.org/2001/XMLSchema" xmlns:xs="http://www.w3.org/2001/XMLSchema" xmlns:p="http://schemas.microsoft.com/office/2006/metadata/properties" xmlns:ns2="54c015e1-6c3a-45ce-9e90-efc8daf66f3c" targetNamespace="http://schemas.microsoft.com/office/2006/metadata/properties" ma:root="true" ma:fieldsID="16d81593c785c9de9a350d310b4240b2" ns2:_="">
    <xsd:import namespace="54c015e1-6c3a-45ce-9e90-efc8daf66f3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015e1-6c3a-45ce-9e90-efc8daf66f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5A8C58-6BEF-41BB-BA07-9AC6BB3CF85E}">
  <ds:schemaRefs>
    <ds:schemaRef ds:uri="http://www.w3.org/XML/1998/namespace"/>
    <ds:schemaRef ds:uri="http://schemas.microsoft.com/office/2006/metadata/properties"/>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54c015e1-6c3a-45ce-9e90-efc8daf66f3c"/>
    <ds:schemaRef ds:uri="http://purl.org/dc/elements/1.1/"/>
  </ds:schemaRefs>
</ds:datastoreItem>
</file>

<file path=customXml/itemProps2.xml><?xml version="1.0" encoding="utf-8"?>
<ds:datastoreItem xmlns:ds="http://schemas.openxmlformats.org/officeDocument/2006/customXml" ds:itemID="{02E6E4E3-46FB-4EEE-A030-94596BE57CC7}">
  <ds:schemaRefs>
    <ds:schemaRef ds:uri="http://schemas.microsoft.com/sharepoint/v3/contenttype/forms"/>
  </ds:schemaRefs>
</ds:datastoreItem>
</file>

<file path=customXml/itemProps3.xml><?xml version="1.0" encoding="utf-8"?>
<ds:datastoreItem xmlns:ds="http://schemas.openxmlformats.org/officeDocument/2006/customXml" ds:itemID="{2413293A-5BCD-45F3-A07D-11778641B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015e1-6c3a-45ce-9e90-efc8daf66f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 Data</vt:lpstr>
      <vt:lpstr>Summary NonNurse-USA</vt:lpstr>
      <vt:lpstr>Summary NonNurse-Region &amp; State</vt:lpstr>
      <vt:lpstr>Notes &amp; 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Hayley Cronquist</dc:creator>
  <cp:keywords/>
  <dc:description/>
  <cp:lastModifiedBy>Hayley Cronquist</cp:lastModifiedBy>
  <cp:revision/>
  <dcterms:created xsi:type="dcterms:W3CDTF">2026-03-02T15:15:20Z</dcterms:created>
  <dcterms:modified xsi:type="dcterms:W3CDTF">2026-08-25T19:36:18Z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0x0101008E3AD50FCD1AE5478694B8164822C48D</vt:lpwstr>
  </property>
</Properties>
</file>