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worksheets/sheet2.xml" ContentType="application/vnd.openxmlformats-officedocument.spreadsheetml.worksheet+xml"/>
  <Override PartName="/xl/drawings/drawing3.xml" ContentType="application/vnd.openxmlformats-officedocument.drawing+xml"/>
  <Override PartName="/xl/worksheets/sheet1.xml" ContentType="application/vnd.openxmlformats-officedocument.spreadsheetml.worksheet+xml"/>
  <Override PartName="/xl/tables/table1.xml" ContentType="application/vnd.openxmlformats-officedocument.spreadsheetml.table+xml"/>
  <Override PartName="/xl/metadata.xml" ContentType="application/vnd.openxmlformats-officedocument.spreadsheetml.sheetMetadata+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tables/table2.xml" ContentType="application/vnd.openxmlformats-officedocument.spreadsheetml.table+xml"/>
  <Override PartName="/xl/externalLinks/externalLink1.xml" ContentType="application/vnd.openxmlformats-officedocument.spreadsheetml.externalLink+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928"/>
  <workbookPr defaultThemeVersion="202300"/>
  <mc:AlternateContent xmlns:mc="http://schemas.openxmlformats.org/markup-compatibility/2006">
    <mc:Choice Requires="x15">
      <x15ac:absPath xmlns:x15ac="http://schemas.microsoft.com/office/spreadsheetml/2010/11/ac" url="/Users/richardmollot/Library/CloudStorage/Dropbox/Documents/MedicareMedicaid/Nursing Home/SNF PBJ Data/SNF PBJ 2025 Q1/"/>
    </mc:Choice>
  </mc:AlternateContent>
  <xr:revisionPtr revIDLastSave="0" documentId="13_ncr:1_{962BB844-9DE6-F543-8B4B-68332308BB74}" xr6:coauthVersionLast="47" xr6:coauthVersionMax="47" xr10:uidLastSave="{00000000-0000-0000-0000-000000000000}"/>
  <bookViews>
    <workbookView xWindow="2240" yWindow="500" windowWidth="25720" windowHeight="22200" xr2:uid="{1AF440C9-86BB-E847-92A8-01E434C7EF7E}"/>
  </bookViews>
  <sheets>
    <sheet name="Sheet1" sheetId="1" r:id="rId1"/>
    <sheet name="Summary Data" sheetId="5" r:id="rId2"/>
    <sheet name="Notes &amp; Glossary" sheetId="2" r:id="rId3"/>
  </sheets>
  <externalReferences>
    <externalReference r:id="rId4"/>
  </externalReferences>
  <calcPr calcId="18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3" i="5" l="1"/>
  <c r="D3" i="5"/>
  <c r="G3" i="5"/>
  <c r="H3" i="5"/>
  <c r="I3" i="5"/>
  <c r="J3" i="5" s="1"/>
  <c r="K3" i="5" a="1"/>
  <c r="K3" i="5" s="1"/>
  <c r="L3" i="5" s="1"/>
  <c r="M3" i="5"/>
  <c r="N3" i="5"/>
  <c r="O3" i="5"/>
  <c r="P3" i="5"/>
  <c r="Q3" i="5" s="1"/>
  <c r="R3" i="5"/>
  <c r="S3" i="5" s="1"/>
  <c r="V3" i="5"/>
  <c r="W3" i="5"/>
  <c r="X3" i="5"/>
  <c r="Y3" i="5" s="1"/>
  <c r="Z3" i="5" a="1"/>
  <c r="Z3" i="5" s="1"/>
  <c r="AA3" i="5" s="1"/>
  <c r="AB3" i="5"/>
  <c r="AC3" i="5"/>
  <c r="AD3" i="5"/>
  <c r="AE3" i="5"/>
  <c r="AF3" i="5" s="1"/>
  <c r="AG3" i="5"/>
  <c r="AH3" i="5" s="1"/>
  <c r="AK3" i="5"/>
  <c r="AM3" i="5" s="1"/>
  <c r="C4" i="5"/>
  <c r="D4" i="5"/>
  <c r="G4" i="5"/>
  <c r="H4" i="5"/>
  <c r="I4" i="5"/>
  <c r="J4" i="5" s="1"/>
  <c r="K4" i="5" a="1"/>
  <c r="K4" i="5" s="1"/>
  <c r="L4" i="5" s="1"/>
  <c r="M4" i="5"/>
  <c r="N4" i="5"/>
  <c r="O4" i="5"/>
  <c r="P4" i="5"/>
  <c r="Q4" i="5" s="1"/>
  <c r="R4" i="5"/>
  <c r="S4" i="5" s="1"/>
  <c r="V4" i="5"/>
  <c r="W4" i="5"/>
  <c r="X4" i="5"/>
  <c r="Y4" i="5" s="1"/>
  <c r="Z4" i="5" a="1"/>
  <c r="Z4" i="5" s="1"/>
  <c r="AA4" i="5" s="1"/>
  <c r="AB4" i="5"/>
  <c r="AC4" i="5"/>
  <c r="AD4" i="5"/>
  <c r="AE4" i="5"/>
  <c r="AF4" i="5" s="1"/>
  <c r="AG4" i="5"/>
  <c r="AH4" i="5" s="1"/>
  <c r="AK4" i="5"/>
  <c r="AL4" i="5"/>
  <c r="AM4" i="5"/>
  <c r="C5" i="5"/>
  <c r="D5" i="5"/>
  <c r="G5" i="5"/>
  <c r="H5" i="5"/>
  <c r="I5" i="5"/>
  <c r="K5" i="5" a="1"/>
  <c r="K5" i="5" s="1"/>
  <c r="L5" i="5" s="1"/>
  <c r="M5" i="5"/>
  <c r="N5" i="5"/>
  <c r="O5" i="5"/>
  <c r="P5" i="5"/>
  <c r="R5" i="5"/>
  <c r="S5" i="5" s="1"/>
  <c r="V5" i="5"/>
  <c r="W5" i="5"/>
  <c r="X5" i="5"/>
  <c r="Z5" i="5" a="1"/>
  <c r="Z5" i="5"/>
  <c r="AA5" i="5"/>
  <c r="AB5" i="5"/>
  <c r="AC5" i="5"/>
  <c r="AD5" i="5"/>
  <c r="AE5" i="5"/>
  <c r="AG5" i="5"/>
  <c r="AK5" i="5"/>
  <c r="AL5" i="5" s="1"/>
  <c r="AM5" i="5"/>
  <c r="C6" i="5"/>
  <c r="D6" i="5"/>
  <c r="G6" i="5"/>
  <c r="H6" i="5"/>
  <c r="I6" i="5"/>
  <c r="J5" i="5" s="1"/>
  <c r="K6" i="5" a="1"/>
  <c r="K6" i="5"/>
  <c r="L6" i="5"/>
  <c r="M6" i="5"/>
  <c r="N6" i="5"/>
  <c r="O6" i="5"/>
  <c r="P6" i="5"/>
  <c r="Q5" i="5" s="1"/>
  <c r="R6" i="5"/>
  <c r="V6" i="5"/>
  <c r="W6" i="5"/>
  <c r="X6" i="5"/>
  <c r="Y5" i="5" s="1"/>
  <c r="Z6" i="5" a="1"/>
  <c r="Z6" i="5"/>
  <c r="AA6" i="5" s="1"/>
  <c r="AB6" i="5"/>
  <c r="AC6" i="5"/>
  <c r="AD6" i="5"/>
  <c r="AE6" i="5"/>
  <c r="AF5" i="5" s="1"/>
  <c r="AG6" i="5"/>
  <c r="AK6" i="5"/>
  <c r="AL6" i="5"/>
  <c r="AM6" i="5"/>
  <c r="C7" i="5"/>
  <c r="D7" i="5"/>
  <c r="G7" i="5"/>
  <c r="H7" i="5"/>
  <c r="I7" i="5"/>
  <c r="J7" i="5" s="1"/>
  <c r="K7" i="5" a="1"/>
  <c r="K7" i="5" s="1"/>
  <c r="L7" i="5" s="1"/>
  <c r="M7" i="5"/>
  <c r="N7" i="5"/>
  <c r="O7" i="5"/>
  <c r="P7" i="5"/>
  <c r="Q7" i="5" s="1"/>
  <c r="R7" i="5"/>
  <c r="S6" i="5" s="1"/>
  <c r="V7" i="5"/>
  <c r="W7" i="5"/>
  <c r="X7" i="5"/>
  <c r="Z7" i="5" a="1"/>
  <c r="Z7" i="5" s="1"/>
  <c r="AA7" i="5" s="1"/>
  <c r="AB7" i="5"/>
  <c r="AC7" i="5"/>
  <c r="AD7" i="5"/>
  <c r="AE7" i="5"/>
  <c r="AG7" i="5"/>
  <c r="AH7" i="5" s="1"/>
  <c r="AK7" i="5"/>
  <c r="AL7" i="5" s="1"/>
  <c r="C8" i="5"/>
  <c r="G8" i="5"/>
  <c r="H8" i="5"/>
  <c r="I8" i="5"/>
  <c r="J8" i="5" s="1"/>
  <c r="K8" i="5" a="1"/>
  <c r="K8" i="5" s="1"/>
  <c r="L8" i="5" s="1"/>
  <c r="M8" i="5"/>
  <c r="N8" i="5"/>
  <c r="O8" i="5"/>
  <c r="P8" i="5"/>
  <c r="Q8" i="5" s="1"/>
  <c r="R8" i="5"/>
  <c r="S8" i="5" s="1"/>
  <c r="V8" i="5"/>
  <c r="W8" i="5"/>
  <c r="X8" i="5"/>
  <c r="Z8" i="5" a="1"/>
  <c r="Z8" i="5" s="1"/>
  <c r="AA8" i="5" s="1"/>
  <c r="AB8" i="5"/>
  <c r="AC8" i="5"/>
  <c r="AD8" i="5"/>
  <c r="AE8" i="5"/>
  <c r="AG8" i="5"/>
  <c r="AH8" i="5" s="1"/>
  <c r="AK8" i="5"/>
  <c r="AL8" i="5" s="1"/>
  <c r="C9" i="5"/>
  <c r="G9" i="5"/>
  <c r="H9" i="5"/>
  <c r="I9" i="5"/>
  <c r="J9" i="5" s="1"/>
  <c r="K9" i="5" a="1"/>
  <c r="K9" i="5" s="1"/>
  <c r="L9" i="5" s="1"/>
  <c r="M9" i="5"/>
  <c r="N9" i="5"/>
  <c r="O9" i="5"/>
  <c r="P9" i="5"/>
  <c r="Q9" i="5" s="1"/>
  <c r="R9" i="5"/>
  <c r="S9" i="5" s="1"/>
  <c r="V9" i="5"/>
  <c r="W9" i="5"/>
  <c r="X9" i="5"/>
  <c r="Z9" i="5" a="1"/>
  <c r="Z9" i="5" s="1"/>
  <c r="AA9" i="5" s="1"/>
  <c r="AB9" i="5"/>
  <c r="AC9" i="5"/>
  <c r="AD9" i="5"/>
  <c r="AE9" i="5"/>
  <c r="AG9" i="5"/>
  <c r="AH9" i="5" s="1"/>
  <c r="AK9" i="5"/>
  <c r="AL9" i="5" s="1"/>
  <c r="C10" i="5"/>
  <c r="G10" i="5"/>
  <c r="H10" i="5"/>
  <c r="I10" i="5"/>
  <c r="J10" i="5" s="1"/>
  <c r="K10" i="5" a="1"/>
  <c r="K10" i="5" s="1"/>
  <c r="L10" i="5" s="1"/>
  <c r="M10" i="5"/>
  <c r="N10" i="5"/>
  <c r="O10" i="5"/>
  <c r="P10" i="5"/>
  <c r="Q10" i="5" s="1"/>
  <c r="R10" i="5"/>
  <c r="S10" i="5" s="1"/>
  <c r="V10" i="5"/>
  <c r="W10" i="5"/>
  <c r="X10" i="5"/>
  <c r="Z10" i="5" a="1"/>
  <c r="Z10" i="5" s="1"/>
  <c r="AA10" i="5" s="1"/>
  <c r="AB10" i="5"/>
  <c r="AC10" i="5"/>
  <c r="AD10" i="5"/>
  <c r="AE10" i="5"/>
  <c r="AG10" i="5"/>
  <c r="AH10" i="5" s="1"/>
  <c r="AK10" i="5"/>
  <c r="AL10" i="5" s="1"/>
  <c r="C11" i="5"/>
  <c r="G11" i="5"/>
  <c r="H11" i="5"/>
  <c r="I11" i="5"/>
  <c r="J11" i="5" s="1"/>
  <c r="K11" i="5" a="1"/>
  <c r="K11" i="5" s="1"/>
  <c r="L11" i="5" s="1"/>
  <c r="M11" i="5"/>
  <c r="N11" i="5"/>
  <c r="O11" i="5"/>
  <c r="P11" i="5"/>
  <c r="Q11" i="5" s="1"/>
  <c r="R11" i="5"/>
  <c r="S11" i="5" s="1"/>
  <c r="V11" i="5"/>
  <c r="W11" i="5"/>
  <c r="X11" i="5"/>
  <c r="Y7" i="5" s="1"/>
  <c r="Z11" i="5" a="1"/>
  <c r="Z11" i="5" s="1"/>
  <c r="AA11" i="5" s="1"/>
  <c r="AB11" i="5"/>
  <c r="AC11" i="5"/>
  <c r="AD11" i="5"/>
  <c r="AE11" i="5"/>
  <c r="AF7" i="5" s="1"/>
  <c r="AG11" i="5"/>
  <c r="AH11" i="5" s="1"/>
  <c r="AK11" i="5"/>
  <c r="AL11" i="5" s="1"/>
  <c r="C12" i="5"/>
  <c r="G12" i="5"/>
  <c r="H12" i="5"/>
  <c r="I12" i="5"/>
  <c r="J12" i="5" s="1"/>
  <c r="K12" i="5" a="1"/>
  <c r="K12" i="5" s="1"/>
  <c r="L12" i="5" s="1"/>
  <c r="M12" i="5"/>
  <c r="N12" i="5"/>
  <c r="O12" i="5"/>
  <c r="P12" i="5"/>
  <c r="Q12" i="5" s="1"/>
  <c r="R12" i="5"/>
  <c r="S12" i="5" s="1"/>
  <c r="V12" i="5"/>
  <c r="W12" i="5"/>
  <c r="X12" i="5"/>
  <c r="Z12" i="5" a="1"/>
  <c r="Z12" i="5" s="1"/>
  <c r="AA12" i="5" s="1"/>
  <c r="AB12" i="5"/>
  <c r="AC12" i="5"/>
  <c r="AD12" i="5"/>
  <c r="AE12" i="5"/>
  <c r="AG12" i="5"/>
  <c r="AH12" i="5" s="1"/>
  <c r="AK12" i="5"/>
  <c r="AL12" i="5" s="1"/>
  <c r="C13" i="5"/>
  <c r="V13" i="5"/>
  <c r="W13" i="5"/>
  <c r="X13" i="5"/>
  <c r="Y13" i="5" s="1"/>
  <c r="Z13" i="5" a="1"/>
  <c r="Z13" i="5" s="1"/>
  <c r="AA13" i="5" s="1"/>
  <c r="AB13" i="5"/>
  <c r="AC13" i="5"/>
  <c r="AD13" i="5"/>
  <c r="AE13" i="5"/>
  <c r="AF13" i="5" s="1"/>
  <c r="AG13" i="5"/>
  <c r="AH13" i="5" s="1"/>
  <c r="AK13" i="5"/>
  <c r="AL13" i="5"/>
  <c r="AM13" i="5"/>
  <c r="C14" i="5"/>
  <c r="D14" i="5"/>
  <c r="V14" i="5"/>
  <c r="W14" i="5"/>
  <c r="X14" i="5"/>
  <c r="Y14" i="5" s="1"/>
  <c r="Z14" i="5" a="1"/>
  <c r="Z14" i="5" s="1"/>
  <c r="AA14" i="5" s="1"/>
  <c r="AB14" i="5"/>
  <c r="AC14" i="5"/>
  <c r="AD14" i="5"/>
  <c r="AE14" i="5"/>
  <c r="AF14" i="5" s="1"/>
  <c r="AG14" i="5"/>
  <c r="AH14" i="5" s="1"/>
  <c r="AK14" i="5"/>
  <c r="AM14" i="5" s="1"/>
  <c r="AL14" i="5"/>
  <c r="C15" i="5"/>
  <c r="D15" i="5"/>
  <c r="V15" i="5"/>
  <c r="W15" i="5"/>
  <c r="X15" i="5"/>
  <c r="Z15" i="5" a="1"/>
  <c r="Z15" i="5" s="1"/>
  <c r="AA15" i="5" s="1"/>
  <c r="AB15" i="5"/>
  <c r="AC15" i="5"/>
  <c r="AD15" i="5"/>
  <c r="AE15" i="5"/>
  <c r="AG15" i="5"/>
  <c r="AH15" i="5" s="1"/>
  <c r="AK15" i="5"/>
  <c r="AL15" i="5" s="1"/>
  <c r="C16" i="5"/>
  <c r="D16" i="5"/>
  <c r="V16" i="5"/>
  <c r="W16" i="5"/>
  <c r="X16" i="5"/>
  <c r="Z16" i="5" a="1"/>
  <c r="Z16" i="5" s="1"/>
  <c r="AA16" i="5" s="1"/>
  <c r="AB16" i="5"/>
  <c r="AC16" i="5"/>
  <c r="AD16" i="5"/>
  <c r="AE16" i="5"/>
  <c r="AG16" i="5"/>
  <c r="AH16" i="5" s="1"/>
  <c r="V17" i="5"/>
  <c r="W17" i="5"/>
  <c r="X17" i="5"/>
  <c r="Z17" i="5" a="1"/>
  <c r="Z17" i="5"/>
  <c r="AA17" i="5" s="1"/>
  <c r="AB17" i="5"/>
  <c r="AC17" i="5"/>
  <c r="AD17" i="5"/>
  <c r="AE17" i="5"/>
  <c r="AG17" i="5"/>
  <c r="V18" i="5"/>
  <c r="W18" i="5"/>
  <c r="X18" i="5"/>
  <c r="Y27" i="5" s="1"/>
  <c r="Z18" i="5" a="1"/>
  <c r="Z18" i="5"/>
  <c r="AA18" i="5" s="1"/>
  <c r="AB18" i="5"/>
  <c r="AC18" i="5"/>
  <c r="AD18" i="5"/>
  <c r="AE18" i="5"/>
  <c r="AF27" i="5" s="1"/>
  <c r="AG18" i="5"/>
  <c r="V19" i="5"/>
  <c r="W19" i="5"/>
  <c r="X19" i="5"/>
  <c r="Y19" i="5" s="1"/>
  <c r="Z19" i="5" a="1"/>
  <c r="Z19" i="5" s="1"/>
  <c r="AA19" i="5" s="1"/>
  <c r="AB19" i="5"/>
  <c r="AC19" i="5"/>
  <c r="AD19" i="5"/>
  <c r="AE19" i="5"/>
  <c r="AF19" i="5" s="1"/>
  <c r="AG19" i="5"/>
  <c r="AH19" i="5" s="1"/>
  <c r="AL19" i="5"/>
  <c r="AK19" i="5" s="1"/>
  <c r="AM19" i="5"/>
  <c r="V20" i="5"/>
  <c r="W20" i="5"/>
  <c r="X20" i="5"/>
  <c r="Z20" i="5" a="1"/>
  <c r="Z20" i="5" s="1"/>
  <c r="AA20" i="5" s="1"/>
  <c r="AB20" i="5"/>
  <c r="AC20" i="5"/>
  <c r="AD20" i="5"/>
  <c r="AE20" i="5"/>
  <c r="AG20" i="5"/>
  <c r="AH20" i="5" s="1"/>
  <c r="AL20" i="5"/>
  <c r="AM20" i="5"/>
  <c r="AK20" i="5" s="1"/>
  <c r="V21" i="5"/>
  <c r="W21" i="5"/>
  <c r="X21" i="5"/>
  <c r="Y20" i="5" s="1"/>
  <c r="Z21" i="5" a="1"/>
  <c r="Z21" i="5"/>
  <c r="AA21" i="5" s="1"/>
  <c r="AB21" i="5"/>
  <c r="AC21" i="5"/>
  <c r="AD21" i="5"/>
  <c r="AE21" i="5"/>
  <c r="AF20" i="5" s="1"/>
  <c r="AG21" i="5"/>
  <c r="AL21" i="5"/>
  <c r="AK21" i="5" s="1"/>
  <c r="AM21" i="5"/>
  <c r="V22" i="5"/>
  <c r="W22" i="5"/>
  <c r="X22" i="5"/>
  <c r="Y22" i="5" s="1"/>
  <c r="Z22" i="5" a="1"/>
  <c r="Z22" i="5" s="1"/>
  <c r="AA22" i="5" s="1"/>
  <c r="AB22" i="5"/>
  <c r="AC22" i="5"/>
  <c r="AD22" i="5"/>
  <c r="AE22" i="5"/>
  <c r="AF22" i="5" s="1"/>
  <c r="AG22" i="5"/>
  <c r="AH22" i="5" s="1"/>
  <c r="AK22" i="5"/>
  <c r="AL22" i="5"/>
  <c r="AM22" i="5"/>
  <c r="V23" i="5"/>
  <c r="W23" i="5"/>
  <c r="X23" i="5"/>
  <c r="Z23" i="5" a="1"/>
  <c r="Z23" i="5"/>
  <c r="AA23" i="5" s="1"/>
  <c r="AB23" i="5"/>
  <c r="AC23" i="5"/>
  <c r="AD23" i="5"/>
  <c r="AE23" i="5"/>
  <c r="AG23" i="5"/>
  <c r="AL23" i="5"/>
  <c r="AM23" i="5"/>
  <c r="AK23" i="5" s="1"/>
  <c r="V24" i="5"/>
  <c r="W24" i="5"/>
  <c r="X24" i="5"/>
  <c r="Y24" i="5" s="1"/>
  <c r="Z24" i="5" a="1"/>
  <c r="Z24" i="5" s="1"/>
  <c r="AA24" i="5" s="1"/>
  <c r="AB24" i="5"/>
  <c r="AC24" i="5"/>
  <c r="AD24" i="5"/>
  <c r="AE24" i="5"/>
  <c r="AF24" i="5" s="1"/>
  <c r="AG24" i="5"/>
  <c r="AH17" i="5" s="1"/>
  <c r="AL24" i="5"/>
  <c r="AK24" i="5" s="1"/>
  <c r="AM24" i="5"/>
  <c r="V25" i="5"/>
  <c r="W25" i="5"/>
  <c r="X25" i="5"/>
  <c r="Z25" i="5" a="1"/>
  <c r="Z25" i="5" s="1"/>
  <c r="AA25" i="5" s="1"/>
  <c r="AB25" i="5"/>
  <c r="AC25" i="5"/>
  <c r="AD25" i="5"/>
  <c r="AE25" i="5"/>
  <c r="AG25" i="5"/>
  <c r="AH25" i="5" s="1"/>
  <c r="AK25" i="5"/>
  <c r="AL25" i="5"/>
  <c r="AM25" i="5"/>
  <c r="V26" i="5"/>
  <c r="W26" i="5"/>
  <c r="X26" i="5"/>
  <c r="Y16" i="5" s="1"/>
  <c r="Z26" i="5" a="1"/>
  <c r="Z26" i="5"/>
  <c r="AA26" i="5" s="1"/>
  <c r="AB26" i="5"/>
  <c r="AC26" i="5"/>
  <c r="AD26" i="5"/>
  <c r="AE26" i="5"/>
  <c r="AF16" i="5" s="1"/>
  <c r="AG26" i="5"/>
  <c r="AL26" i="5"/>
  <c r="AK26" i="5" s="1"/>
  <c r="AM26" i="5"/>
  <c r="V27" i="5"/>
  <c r="W27" i="5"/>
  <c r="X27" i="5"/>
  <c r="Z27" i="5" a="1"/>
  <c r="Z27" i="5" s="1"/>
  <c r="AA27" i="5" s="1"/>
  <c r="AB27" i="5"/>
  <c r="AC27" i="5"/>
  <c r="AD27" i="5"/>
  <c r="AE27" i="5"/>
  <c r="AG27" i="5"/>
  <c r="AH27" i="5" s="1"/>
  <c r="AL27" i="5"/>
  <c r="AK27" i="5" s="1"/>
  <c r="AM27" i="5"/>
  <c r="V28" i="5"/>
  <c r="W28" i="5"/>
  <c r="X28" i="5"/>
  <c r="Z28" i="5" a="1"/>
  <c r="Z28" i="5"/>
  <c r="AA28" i="5"/>
  <c r="AB28" i="5"/>
  <c r="AC28" i="5"/>
  <c r="AD28" i="5"/>
  <c r="AE28" i="5"/>
  <c r="AG28" i="5"/>
  <c r="V29" i="5"/>
  <c r="W29" i="5"/>
  <c r="X29" i="5"/>
  <c r="Y29" i="5" s="1"/>
  <c r="Z29" i="5" a="1"/>
  <c r="Z29" i="5"/>
  <c r="AA29" i="5" s="1"/>
  <c r="AB29" i="5"/>
  <c r="AC29" i="5"/>
  <c r="AD29" i="5"/>
  <c r="AE29" i="5"/>
  <c r="AF29" i="5" s="1"/>
  <c r="AG29" i="5"/>
  <c r="V30" i="5"/>
  <c r="W30" i="5"/>
  <c r="X30" i="5"/>
  <c r="Y30" i="5" s="1"/>
  <c r="Z30" i="5" a="1"/>
  <c r="Z30" i="5" s="1"/>
  <c r="AA30" i="5" s="1"/>
  <c r="AB30" i="5"/>
  <c r="AC30" i="5"/>
  <c r="AD30" i="5"/>
  <c r="AE30" i="5"/>
  <c r="AF30" i="5" s="1"/>
  <c r="AG30" i="5"/>
  <c r="AH30" i="5" s="1"/>
  <c r="V31" i="5"/>
  <c r="W31" i="5"/>
  <c r="X31" i="5"/>
  <c r="Z31" i="5" a="1"/>
  <c r="Z31" i="5" s="1"/>
  <c r="AA31" i="5" s="1"/>
  <c r="AB31" i="5"/>
  <c r="AC31" i="5"/>
  <c r="AD31" i="5"/>
  <c r="AE31" i="5"/>
  <c r="AG31" i="5"/>
  <c r="AH31" i="5" s="1"/>
  <c r="V32" i="5"/>
  <c r="W32" i="5"/>
  <c r="X32" i="5"/>
  <c r="Z32" i="5" a="1"/>
  <c r="Z32" i="5" s="1"/>
  <c r="AA32" i="5" s="1"/>
  <c r="AB32" i="5"/>
  <c r="AC32" i="5"/>
  <c r="AD32" i="5"/>
  <c r="AE32" i="5"/>
  <c r="AG32" i="5"/>
  <c r="AH32" i="5" s="1"/>
  <c r="V33" i="5"/>
  <c r="W33" i="5"/>
  <c r="X33" i="5"/>
  <c r="Y33" i="5" s="1"/>
  <c r="Z33" i="5" a="1"/>
  <c r="Z33" i="5"/>
  <c r="AA33" i="5" s="1"/>
  <c r="AB33" i="5"/>
  <c r="AC33" i="5"/>
  <c r="AD33" i="5"/>
  <c r="AE33" i="5"/>
  <c r="AF33" i="5" s="1"/>
  <c r="AG33" i="5"/>
  <c r="V34" i="5"/>
  <c r="W34" i="5"/>
  <c r="X34" i="5"/>
  <c r="Y34" i="5" s="1"/>
  <c r="Z34" i="5" a="1"/>
  <c r="Z34" i="5" s="1"/>
  <c r="AA34" i="5" s="1"/>
  <c r="AB34" i="5"/>
  <c r="AC34" i="5"/>
  <c r="AD34" i="5"/>
  <c r="AE34" i="5"/>
  <c r="AF34" i="5" s="1"/>
  <c r="AG34" i="5"/>
  <c r="AH34" i="5" s="1"/>
  <c r="V35" i="5"/>
  <c r="W35" i="5"/>
  <c r="X35" i="5"/>
  <c r="Y35" i="5" s="1"/>
  <c r="Z35" i="5" a="1"/>
  <c r="Z35" i="5" s="1"/>
  <c r="AA35" i="5" s="1"/>
  <c r="AB35" i="5"/>
  <c r="AC35" i="5"/>
  <c r="AD35" i="5"/>
  <c r="AE35" i="5"/>
  <c r="AF35" i="5" s="1"/>
  <c r="AG35" i="5"/>
  <c r="AH35" i="5" s="1"/>
  <c r="V36" i="5"/>
  <c r="W36" i="5"/>
  <c r="X36" i="5"/>
  <c r="Z36" i="5" a="1"/>
  <c r="Z36" i="5" s="1"/>
  <c r="AA36" i="5" s="1"/>
  <c r="AB36" i="5"/>
  <c r="AC36" i="5"/>
  <c r="AD36" i="5"/>
  <c r="AE36" i="5"/>
  <c r="AG36" i="5"/>
  <c r="AH36" i="5" s="1"/>
  <c r="V37" i="5"/>
  <c r="W37" i="5"/>
  <c r="X37" i="5"/>
  <c r="Y37" i="5" s="1"/>
  <c r="Z37" i="5" a="1"/>
  <c r="Z37" i="5"/>
  <c r="AB37" i="5"/>
  <c r="AC37" i="5"/>
  <c r="AD37" i="5"/>
  <c r="AE37" i="5"/>
  <c r="AF37" i="5" s="1"/>
  <c r="AG37" i="5"/>
  <c r="V38" i="5"/>
  <c r="W38" i="5"/>
  <c r="X38" i="5"/>
  <c r="Y38" i="5" s="1"/>
  <c r="Z38" i="5" a="1"/>
  <c r="Z38" i="5" s="1"/>
  <c r="AA38" i="5" s="1"/>
  <c r="AB38" i="5"/>
  <c r="AC38" i="5"/>
  <c r="AD38" i="5"/>
  <c r="AE38" i="5"/>
  <c r="AF38" i="5" s="1"/>
  <c r="AG38" i="5"/>
  <c r="AH38" i="5" s="1"/>
  <c r="V39" i="5"/>
  <c r="W39" i="5"/>
  <c r="X39" i="5"/>
  <c r="Y39" i="5" s="1"/>
  <c r="Z39" i="5" a="1"/>
  <c r="Z39" i="5" s="1"/>
  <c r="AA39" i="5" s="1"/>
  <c r="AB39" i="5"/>
  <c r="AC39" i="5"/>
  <c r="AD39" i="5"/>
  <c r="AE39" i="5"/>
  <c r="AF39" i="5" s="1"/>
  <c r="AG39" i="5"/>
  <c r="AH39" i="5" s="1"/>
  <c r="V40" i="5"/>
  <c r="W40" i="5"/>
  <c r="X40" i="5"/>
  <c r="Z40" i="5" a="1"/>
  <c r="Z40" i="5" s="1"/>
  <c r="AA40" i="5" s="1"/>
  <c r="AB40" i="5"/>
  <c r="AC40" i="5"/>
  <c r="AD40" i="5"/>
  <c r="AE40" i="5"/>
  <c r="AG40" i="5"/>
  <c r="AH40" i="5" s="1"/>
  <c r="V41" i="5"/>
  <c r="W41" i="5"/>
  <c r="X41" i="5"/>
  <c r="Y41" i="5" s="1"/>
  <c r="Z41" i="5" a="1"/>
  <c r="Z41" i="5"/>
  <c r="AB41" i="5"/>
  <c r="AC41" i="5"/>
  <c r="AD41" i="5"/>
  <c r="AE41" i="5"/>
  <c r="AF41" i="5" s="1"/>
  <c r="AG41" i="5"/>
  <c r="V42" i="5"/>
  <c r="W42" i="5"/>
  <c r="X42" i="5"/>
  <c r="Y42" i="5" s="1"/>
  <c r="Z42" i="5" a="1"/>
  <c r="Z42" i="5" s="1"/>
  <c r="AA42" i="5" s="1"/>
  <c r="AB42" i="5"/>
  <c r="AC42" i="5"/>
  <c r="AD42" i="5"/>
  <c r="AE42" i="5"/>
  <c r="AF42" i="5" s="1"/>
  <c r="AG42" i="5"/>
  <c r="AH42" i="5" s="1"/>
  <c r="V43" i="5"/>
  <c r="W43" i="5"/>
  <c r="X43" i="5"/>
  <c r="Y43" i="5" s="1"/>
  <c r="Z43" i="5" a="1"/>
  <c r="Z43" i="5" s="1"/>
  <c r="AA43" i="5" s="1"/>
  <c r="AB43" i="5"/>
  <c r="AC43" i="5"/>
  <c r="AD43" i="5"/>
  <c r="AE43" i="5"/>
  <c r="AF43" i="5" s="1"/>
  <c r="AG43" i="5"/>
  <c r="AH43" i="5" s="1"/>
  <c r="V44" i="5"/>
  <c r="W44" i="5"/>
  <c r="X44" i="5"/>
  <c r="Z44" i="5" a="1"/>
  <c r="Z44" i="5" s="1"/>
  <c r="AA44" i="5" s="1"/>
  <c r="AB44" i="5"/>
  <c r="AC44" i="5"/>
  <c r="AD44" i="5"/>
  <c r="AE44" i="5"/>
  <c r="AG44" i="5"/>
  <c r="AH44" i="5" s="1"/>
  <c r="V45" i="5"/>
  <c r="W45" i="5"/>
  <c r="X45" i="5"/>
  <c r="Y45" i="5" s="1"/>
  <c r="Z45" i="5" a="1"/>
  <c r="Z45" i="5" s="1"/>
  <c r="AA45" i="5" s="1"/>
  <c r="AB45" i="5"/>
  <c r="AC45" i="5"/>
  <c r="AD45" i="5"/>
  <c r="AE45" i="5"/>
  <c r="AF45" i="5" s="1"/>
  <c r="AG45" i="5"/>
  <c r="V46" i="5"/>
  <c r="W46" i="5"/>
  <c r="X46" i="5"/>
  <c r="Y46" i="5" s="1"/>
  <c r="Z46" i="5" a="1"/>
  <c r="Z46" i="5" s="1"/>
  <c r="AA46" i="5" s="1"/>
  <c r="AB46" i="5"/>
  <c r="AC46" i="5"/>
  <c r="AD46" i="5"/>
  <c r="AE46" i="5"/>
  <c r="AF46" i="5" s="1"/>
  <c r="AG46" i="5"/>
  <c r="AH46" i="5" s="1"/>
  <c r="V47" i="5"/>
  <c r="W47" i="5"/>
  <c r="X47" i="5"/>
  <c r="Y47" i="5" s="1"/>
  <c r="Z47" i="5" a="1"/>
  <c r="Z47" i="5" s="1"/>
  <c r="AA47" i="5" s="1"/>
  <c r="AB47" i="5"/>
  <c r="AC47" i="5"/>
  <c r="AD47" i="5"/>
  <c r="AE47" i="5"/>
  <c r="AF47" i="5" s="1"/>
  <c r="AG47" i="5"/>
  <c r="AH47" i="5" s="1"/>
  <c r="V48" i="5"/>
  <c r="W48" i="5"/>
  <c r="X48" i="5"/>
  <c r="Z48" i="5" a="1"/>
  <c r="Z48" i="5" s="1"/>
  <c r="AA48" i="5" s="1"/>
  <c r="AB48" i="5"/>
  <c r="AC48" i="5"/>
  <c r="AD48" i="5"/>
  <c r="AE48" i="5"/>
  <c r="AG48" i="5"/>
  <c r="AH48" i="5" s="1"/>
  <c r="V49" i="5"/>
  <c r="W49" i="5"/>
  <c r="X49" i="5"/>
  <c r="Y49" i="5" s="1"/>
  <c r="Z49" i="5" a="1"/>
  <c r="Z49" i="5" s="1"/>
  <c r="AA49" i="5" s="1"/>
  <c r="AB49" i="5"/>
  <c r="AC49" i="5"/>
  <c r="AD49" i="5"/>
  <c r="AE49" i="5"/>
  <c r="AF49" i="5" s="1"/>
  <c r="AG49" i="5"/>
  <c r="AH49" i="5" s="1"/>
  <c r="V50" i="5"/>
  <c r="W50" i="5"/>
  <c r="X50" i="5"/>
  <c r="Y50" i="5" s="1"/>
  <c r="Z50" i="5" a="1"/>
  <c r="Z50" i="5" s="1"/>
  <c r="AA50" i="5" s="1"/>
  <c r="AB50" i="5"/>
  <c r="AC50" i="5"/>
  <c r="AD50" i="5"/>
  <c r="AE50" i="5"/>
  <c r="AF50" i="5" s="1"/>
  <c r="AG50" i="5"/>
  <c r="AH50" i="5" s="1"/>
  <c r="V51" i="5"/>
  <c r="W51" i="5"/>
  <c r="X51" i="5"/>
  <c r="Y51" i="5" s="1"/>
  <c r="Z51" i="5" a="1"/>
  <c r="Z51" i="5" s="1"/>
  <c r="AA51" i="5" s="1"/>
  <c r="AB51" i="5"/>
  <c r="AC51" i="5"/>
  <c r="AD51" i="5"/>
  <c r="AE51" i="5"/>
  <c r="AF51" i="5" s="1"/>
  <c r="AG51" i="5"/>
  <c r="AH51" i="5" s="1"/>
  <c r="V52" i="5"/>
  <c r="W52" i="5"/>
  <c r="X52" i="5"/>
  <c r="Y52" i="5" s="1"/>
  <c r="Z52" i="5" a="1"/>
  <c r="Z52" i="5" s="1"/>
  <c r="AA52" i="5" s="1"/>
  <c r="AB52" i="5"/>
  <c r="AC52" i="5"/>
  <c r="AD52" i="5"/>
  <c r="AE52" i="5"/>
  <c r="AF52" i="5" s="1"/>
  <c r="AG52" i="5"/>
  <c r="AH52" i="5" s="1"/>
  <c r="V53" i="5"/>
  <c r="W53" i="5"/>
  <c r="X53" i="5"/>
  <c r="Y53" i="5" s="1"/>
  <c r="Z53" i="5" a="1"/>
  <c r="Z53" i="5" s="1"/>
  <c r="AA53" i="5" s="1"/>
  <c r="AB53" i="5"/>
  <c r="AC53" i="5"/>
  <c r="AD53" i="5"/>
  <c r="AE53" i="5"/>
  <c r="AF53" i="5" s="1"/>
  <c r="AG53" i="5"/>
  <c r="AH53" i="5" s="1"/>
  <c r="V54" i="5"/>
  <c r="W54" i="5"/>
  <c r="X54" i="5"/>
  <c r="Y54" i="5" s="1"/>
  <c r="Z54" i="5" a="1"/>
  <c r="Z54" i="5" s="1"/>
  <c r="AA54" i="5" s="1"/>
  <c r="AB54" i="5"/>
  <c r="AC54" i="5"/>
  <c r="AD54" i="5"/>
  <c r="AE54" i="5"/>
  <c r="AF54" i="5" s="1"/>
  <c r="AG54" i="5"/>
  <c r="AH54" i="5" s="1"/>
  <c r="AF23" i="5" l="1"/>
  <c r="Y23" i="5"/>
  <c r="AH21" i="5"/>
  <c r="AH18" i="5"/>
  <c r="AF17" i="5"/>
  <c r="Y17" i="5"/>
  <c r="AH6" i="5"/>
  <c r="Q6" i="5"/>
  <c r="J6" i="5"/>
  <c r="AF31" i="5"/>
  <c r="Y31" i="5"/>
  <c r="AH28" i="5"/>
  <c r="AF15" i="5"/>
  <c r="Y15" i="5"/>
  <c r="AF12" i="5"/>
  <c r="Y12" i="5"/>
  <c r="AF11" i="5"/>
  <c r="Y11" i="5"/>
  <c r="AF10" i="5"/>
  <c r="Y10" i="5"/>
  <c r="AF9" i="5"/>
  <c r="Y9" i="5"/>
  <c r="AF8" i="5"/>
  <c r="Y8" i="5"/>
  <c r="AH5" i="5"/>
  <c r="AA37" i="5"/>
  <c r="AF21" i="5"/>
  <c r="Y21" i="5"/>
  <c r="AF18" i="5"/>
  <c r="Y18" i="5"/>
  <c r="AF6" i="5"/>
  <c r="Y6" i="5"/>
  <c r="AA41" i="5"/>
  <c r="AF48" i="5"/>
  <c r="Y48" i="5"/>
  <c r="AH45" i="5"/>
  <c r="AF44" i="5"/>
  <c r="Y44" i="5"/>
  <c r="AH41" i="5"/>
  <c r="AF40" i="5"/>
  <c r="Y40" i="5"/>
  <c r="AH37" i="5"/>
  <c r="AF36" i="5"/>
  <c r="Y36" i="5"/>
  <c r="AH33" i="5"/>
  <c r="AF32" i="5"/>
  <c r="Y32" i="5"/>
  <c r="AH29" i="5"/>
  <c r="AF28" i="5"/>
  <c r="Y28" i="5"/>
  <c r="AH26" i="5"/>
  <c r="AM15" i="5"/>
  <c r="AM12" i="5"/>
  <c r="AM11" i="5"/>
  <c r="AM10" i="5"/>
  <c r="AM9" i="5"/>
  <c r="AM8" i="5"/>
  <c r="AM7" i="5"/>
  <c r="AF26" i="5"/>
  <c r="Y26" i="5"/>
  <c r="AH24" i="5"/>
  <c r="S7" i="5"/>
  <c r="AF25" i="5"/>
  <c r="Y25" i="5"/>
  <c r="AH23" i="5"/>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<sst xmlns="http://schemas.openxmlformats.org/spreadsheetml/2006/main" count="478" uniqueCount="321">
  <si>
    <t>PROVNAME</t>
  </si>
  <si>
    <t>CITY</t>
  </si>
  <si>
    <t>COUNTY_NAME</t>
  </si>
  <si>
    <t>MDScensus</t>
  </si>
  <si>
    <t>Total Nurse Staff HPRD</t>
  </si>
  <si>
    <t>Nursing Case-Mix Index</t>
  </si>
  <si>
    <t>Expected Total Nurse Staff HPRD</t>
  </si>
  <si>
    <t>% Deviation From Total Expected Nurse HPRD</t>
  </si>
  <si>
    <t>Total Nurse Care Staff HPRD (excl. Admin/DON)</t>
  </si>
  <si>
    <t>Total RN Staff HPRD</t>
  </si>
  <si>
    <t>Expected Total RN HPRD</t>
  </si>
  <si>
    <t>% Deviation From Total Expected RN HPRD</t>
  </si>
  <si>
    <t>Total RN Care Staff HPRD (excl. Admin/DON)</t>
  </si>
  <si>
    <t>Total LPN HPRD (w/ Admin)</t>
  </si>
  <si>
    <t>Total Nurse Aide HPRD (CNA, NA TR, MedAide)</t>
  </si>
  <si>
    <t>Expected Nurse Aide HPRD</t>
  </si>
  <si>
    <t>% Deviation From Total Nurse Aide HPRD</t>
  </si>
  <si>
    <t>Total Nurse Staff Hours</t>
  </si>
  <si>
    <t>Total Contract Hours</t>
  </si>
  <si>
    <t>% Total Nurse Contract</t>
  </si>
  <si>
    <t>ACHIEVE REHAB AND NURSING FACILITY</t>
  </si>
  <si>
    <t>LIBERTY</t>
  </si>
  <si>
    <t>Sullivan</t>
  </si>
  <si>
    <t>ADIRA AT RIVERSIDE REHABILITATION AND NURSING</t>
  </si>
  <si>
    <t>YONKERS</t>
  </si>
  <si>
    <t>Westchester</t>
  </si>
  <si>
    <t>ANDRUS ON HUDSON</t>
  </si>
  <si>
    <t>HASTINGS ON HUDSON</t>
  </si>
  <si>
    <t>BAYBERRY NURSING HOME</t>
  </si>
  <si>
    <t>NEW ROCHELLE</t>
  </si>
  <si>
    <t>BETHEL NURSING HOME COMPANY INC</t>
  </si>
  <si>
    <t>OSSINING</t>
  </si>
  <si>
    <t>BRIARCLIFF MANOR CENTER FOR REHAB AND NURSING CARE</t>
  </si>
  <si>
    <t>BRIARCLIFF MANOR</t>
  </si>
  <si>
    <t>CAMPBELL HALL REHABILITATION CENTER INC</t>
  </si>
  <si>
    <t>CAMPBELL HALL</t>
  </si>
  <si>
    <t>Orange</t>
  </si>
  <si>
    <t>CEDAR MANOR NURSING &amp; REHABILITATION CENTER</t>
  </si>
  <si>
    <t>CORTLANDT HEALTHCARE</t>
  </si>
  <si>
    <t>CORTLANDT MANOR</t>
  </si>
  <si>
    <t>DUMONT CENTER FOR REHABILITATION AND NURSING CARE</t>
  </si>
  <si>
    <t>ELIZABETH SETON CHILDREN'S CENTER</t>
  </si>
  <si>
    <t>EPIC REHABILITATION AND NURSING AT WHITE PLAINS</t>
  </si>
  <si>
    <t>WHITE PLAINS</t>
  </si>
  <si>
    <t>FERNCLIFF NURSING HOME CO INC</t>
  </si>
  <si>
    <t>RHINEBECK</t>
  </si>
  <si>
    <t>Dutchess</t>
  </si>
  <si>
    <t>FISHKILL CENTER FOR REHABILITATION AND NURSING</t>
  </si>
  <si>
    <t>BEACON</t>
  </si>
  <si>
    <t>FRIEDWALD CENTER FOR REHAB AND NURSING, L L C</t>
  </si>
  <si>
    <t>NEW CITY</t>
  </si>
  <si>
    <t>Rockland</t>
  </si>
  <si>
    <t>GHENT REHABILITATION &amp; NURSING CENTER</t>
  </si>
  <si>
    <t>GHENT</t>
  </si>
  <si>
    <t>Columbia</t>
  </si>
  <si>
    <t>GLEN ARDEN INC</t>
  </si>
  <si>
    <t>GOSHEN</t>
  </si>
  <si>
    <t>GLEN ISLAND CENTER FOR NURSING AND REHABILITATION</t>
  </si>
  <si>
    <t>GOLDEN HILL NURSING AND REHABILITATION CENTER</t>
  </si>
  <si>
    <t>KINGSTON</t>
  </si>
  <si>
    <t>Ulster</t>
  </si>
  <si>
    <t>GREENE MEADOWS NURSING AND REHABILITATION CENTER</t>
  </si>
  <si>
    <t>CATSKILL</t>
  </si>
  <si>
    <t>Greene</t>
  </si>
  <si>
    <t>HELEN HAYES HOSPITAL R H C F</t>
  </si>
  <si>
    <t>WEST HAVERSTRAW</t>
  </si>
  <si>
    <t>HELEN HAYES HOSPITAL T C U</t>
  </si>
  <si>
    <t>HIGHLAND REHABILITATION AND NURSING CENTER</t>
  </si>
  <si>
    <t>MIDDLETOWN</t>
  </si>
  <si>
    <t>HUDSON HILL CENTER FOR REHABILITATION &amp; NURSING</t>
  </si>
  <si>
    <t>HUDSON VALLEY REHABILITATION &amp; EXTENDED CARE CTR</t>
  </si>
  <si>
    <t>HIGHLAND</t>
  </si>
  <si>
    <t>KENDAL ON HUDSON</t>
  </si>
  <si>
    <t>SLEEPY HOLLOW</t>
  </si>
  <si>
    <t>KING STREET HOME INC</t>
  </si>
  <si>
    <t>PORT CHESTER</t>
  </si>
  <si>
    <t>LIVINGSTON HILLS NURSING AND REHABILITATION CENTER</t>
  </si>
  <si>
    <t>LIVINGSTON</t>
  </si>
  <si>
    <t>LUTHERAN CENTER AT POUGHKEEPSIE INC</t>
  </si>
  <si>
    <t>POUGHKEEPSIE</t>
  </si>
  <si>
    <t>MARTINE CENTER FOR REHABILITATION AND NURSING</t>
  </si>
  <si>
    <t>MIDDLETOWN PARK REHAB &amp; HEALTH CARE CENTER</t>
  </si>
  <si>
    <t>MONTGOMERY NURSING AND REHABILITATION CENTER</t>
  </si>
  <si>
    <t>MONTGOMERY</t>
  </si>
  <si>
    <t>NEW PALTZ CENTER FOR REHABILITATION AND NURSING</t>
  </si>
  <si>
    <t>NEW PALTZ</t>
  </si>
  <si>
    <t>NEW YORK STATE VETERANS HOME AT MONTROSE</t>
  </si>
  <si>
    <t>MONTROSE</t>
  </si>
  <si>
    <t>NORTH WESTCHESTER RESTORATIVE THERAPY &amp; NRSG CRT</t>
  </si>
  <si>
    <t>MOHEGAN LAKE</t>
  </si>
  <si>
    <t>NORTHEAST CTR FOR REHABILITATION AND BRAIN INJURY</t>
  </si>
  <si>
    <t>LAKE KATRINE</t>
  </si>
  <si>
    <t>NORTHERN MANOR GERIATRIC CENTER INC</t>
  </si>
  <si>
    <t>NANUET</t>
  </si>
  <si>
    <t>NORTHERN METROPOLITAN RES HEALTH CARE FACILITY INC</t>
  </si>
  <si>
    <t>MONSEY</t>
  </si>
  <si>
    <t>NORTHERN RIVERVIEW HEALTH CARE, INC</t>
  </si>
  <si>
    <t>HAVERSTRAW</t>
  </si>
  <si>
    <t>NYACK RIDGE REHABILITATION AND NURSING CENTER</t>
  </si>
  <si>
    <t>VALLEY COTTAGE</t>
  </si>
  <si>
    <t>PINE HAVEN HOME</t>
  </si>
  <si>
    <t>PHILMONT</t>
  </si>
  <si>
    <t>PINE VALLEY CENTER FOR REHABILITATION AND NURSING</t>
  </si>
  <si>
    <t>SPRING VALLEY</t>
  </si>
  <si>
    <t>PUTNAM NURSING &amp; REHABILITATION CENTER</t>
  </si>
  <si>
    <t>HOLMES</t>
  </si>
  <si>
    <t>Putnam</t>
  </si>
  <si>
    <t>PUTNAM RIDGE</t>
  </si>
  <si>
    <t>BREWSTER</t>
  </si>
  <si>
    <t>RENAISSANCE REHABILITATION AND NURSING CARE CENTER</t>
  </si>
  <si>
    <t>STAATSBURG</t>
  </si>
  <si>
    <t>ROSCOE REGIONAL REHAB &amp; RESIDENTIAL H C F</t>
  </si>
  <si>
    <t>ROSCOE</t>
  </si>
  <si>
    <t>SALEM HILLS REHABILITATION AND NURSING CENTER</t>
  </si>
  <si>
    <t>PURDYS</t>
  </si>
  <si>
    <t>SANS SOUCI REHABILITATION AND NURSING CENTER</t>
  </si>
  <si>
    <t>SAPPHIRE NURSING AND REHAB AT GOSHEN</t>
  </si>
  <si>
    <t>SAPPHIRE NURSING AT MEADOW HILL</t>
  </si>
  <si>
    <t>NEWBURGH</t>
  </si>
  <si>
    <t>SAPPHIRE NURSING AT WAPPINGERS</t>
  </si>
  <si>
    <t>WAPPINGERS FALLS</t>
  </si>
  <si>
    <t>SCHAFFER EXTENDED CARE CENTER</t>
  </si>
  <si>
    <t>SCHERVIER PAVILION</t>
  </si>
  <si>
    <t>WARWICK</t>
  </si>
  <si>
    <t>SKY VIEW REHABILITATION &amp; HEALTH CARE CENTER L L C</t>
  </si>
  <si>
    <t>CROTON ON HUDSON</t>
  </si>
  <si>
    <t>SPRAIN BROOK MANOR REHAB</t>
  </si>
  <si>
    <t>SCARSDALE</t>
  </si>
  <si>
    <t>SPRINGVALE NURSING &amp; REHABILITATION CENTER</t>
  </si>
  <si>
    <t>ST CABRINI NURSING HOME</t>
  </si>
  <si>
    <t>DOBBS FERRY</t>
  </si>
  <si>
    <t>ST JOSEPHS PLACE</t>
  </si>
  <si>
    <t>PORT JERVIS</t>
  </si>
  <si>
    <t>SULLIVAN COUNTY ADULT CARE CENTER</t>
  </si>
  <si>
    <t>SUNSHINE CHILDREN'S HOME AND REHAB CENTER</t>
  </si>
  <si>
    <t>SUTTON PARK CENTER FOR NURSING AND REHABILITATION</t>
  </si>
  <si>
    <t>TACONIC REHABILITATION AND NURSING AT BEACON</t>
  </si>
  <si>
    <t>TACONIC REHABILITATION AND NURSING AT HOPEWELL</t>
  </si>
  <si>
    <t>FISHKILL</t>
  </si>
  <si>
    <t>TACONIC REHABILITATION AND NURSING AT ULSTER</t>
  </si>
  <si>
    <t>TARRYTOWN HALL CARE CENTER</t>
  </si>
  <si>
    <t>TARRYTOWN</t>
  </si>
  <si>
    <t>TEN BROECK COMMONS</t>
  </si>
  <si>
    <t>THE BAPTIST HOME AT BROOKMEADE</t>
  </si>
  <si>
    <t>THE ELEANOR NURSING CARE CENTER</t>
  </si>
  <si>
    <t>HYDE PARK</t>
  </si>
  <si>
    <t>THE EMERALD PEEK REHABILITATION AND NURSING CENTER</t>
  </si>
  <si>
    <t>PEEKSKILL</t>
  </si>
  <si>
    <t>THE ENCLAVE AT RYE  REHAB AND NURSING CTR</t>
  </si>
  <si>
    <t>THE GRAND REHABILITATION AND NRSG AT RIVER VALLEY</t>
  </si>
  <si>
    <t>THE GRAND REHABILITATION AND NURSING AT BARNWELL</t>
  </si>
  <si>
    <t>VALATIE</t>
  </si>
  <si>
    <t>THE GRAND REHABILITATION AND NURSING AT PAWLING</t>
  </si>
  <si>
    <t>PAWLING</t>
  </si>
  <si>
    <t>THE GROVE AT VALHALLA REHAB AND NURSING CENTER</t>
  </si>
  <si>
    <t>VALHALLA</t>
  </si>
  <si>
    <t>THE KNOLLS</t>
  </si>
  <si>
    <t>THE NEW JEWISH HOME, SARAH NEUMAN</t>
  </si>
  <si>
    <t>MAMARONECK</t>
  </si>
  <si>
    <t>THE OSBORN</t>
  </si>
  <si>
    <t>RYE</t>
  </si>
  <si>
    <t>THE PARAMOUNT AT SOMERS REHAB AND NURSING CENTER</t>
  </si>
  <si>
    <t>SOMERS</t>
  </si>
  <si>
    <t>THE PINES AT CATSKILL CENTER FOR NURSING &amp; REHAB</t>
  </si>
  <si>
    <t>THE PINES AT POUGHKEEPSIE CTR FOR NURSING &amp; REHAB</t>
  </si>
  <si>
    <t>THE STEVEN AND ALEXANDRA COHEN PED L T C PAVILION</t>
  </si>
  <si>
    <t>THE VALLEY VIEW CENTER FOR NURSING CARE AND REHAB</t>
  </si>
  <si>
    <t>THE WARTBURG HOME</t>
  </si>
  <si>
    <t>MOUNT VERNON</t>
  </si>
  <si>
    <t>THE WILLOWS AT RAMAPO REHAB AND NURSING CENTER</t>
  </si>
  <si>
    <t>SUFFERN</t>
  </si>
  <si>
    <t>TOLSTOY FOUNDATION REHABILITATION AND NRSG CENTER</t>
  </si>
  <si>
    <t>UNITED HEBREW GERIATRIC CENTER</t>
  </si>
  <si>
    <t>WATERVIEW HILLS REHABILITATION AND NURSING CENTER</t>
  </si>
  <si>
    <t>PURDY STATION</t>
  </si>
  <si>
    <t>WESTCHESTER CENTER FOR REHABILITATION &amp; NURSING</t>
  </si>
  <si>
    <t>WHITE PLAINS CENTER FOR NURSING CARE, L L C</t>
  </si>
  <si>
    <t>WOODLAND POND AT NEW PALTZ</t>
  </si>
  <si>
    <t>YONKERS GARDENS CENTER FOR NURSING AND REHAB</t>
  </si>
  <si>
    <t>YORKTOWN REHABILITATION &amp; NURSING CENTER</t>
  </si>
  <si>
    <t>Registered Nurse (incl. RN Admin, DON)</t>
  </si>
  <si>
    <t>Total RN</t>
  </si>
  <si>
    <t>Qualified Social Worker + Other Social Worker</t>
  </si>
  <si>
    <t>Total Social Work</t>
  </si>
  <si>
    <t>PT + PT Assistant + PT Aide</t>
  </si>
  <si>
    <t>Total PT</t>
  </si>
  <si>
    <t>OT + OT Assistant + OT Aide</t>
  </si>
  <si>
    <t>Total OT</t>
  </si>
  <si>
    <t>Qualified Activities Professional + Other Activities Staff</t>
  </si>
  <si>
    <t xml:space="preserve">Combined Activities </t>
  </si>
  <si>
    <t>RN + LPN + CNA + Med Aide + NA in Training</t>
  </si>
  <si>
    <t>Total Nurse Care Staff (excl. Admin/DON)</t>
  </si>
  <si>
    <t>RN (incl. Admin/DON) + LPN (incl. Admin) + CNA + Med Aide + NA TR</t>
  </si>
  <si>
    <t>Total Nurse Staff</t>
  </si>
  <si>
    <t>Staff minutes ÷ Resident Census</t>
  </si>
  <si>
    <t>MPRD</t>
  </si>
  <si>
    <r>
      <t xml:space="preserve">Staff hours </t>
    </r>
    <r>
      <rPr>
        <sz val="12"/>
        <color theme="1"/>
        <rFont val="Calibri"/>
        <family val="2"/>
      </rPr>
      <t>÷</t>
    </r>
    <r>
      <rPr>
        <sz val="8.4"/>
        <color theme="1"/>
        <rFont val="Calibri"/>
        <family val="2"/>
      </rPr>
      <t xml:space="preserve"> </t>
    </r>
    <r>
      <rPr>
        <sz val="12"/>
        <color theme="1"/>
        <rFont val="Calibri"/>
        <family val="2"/>
      </rPr>
      <t>Resident Census</t>
    </r>
  </si>
  <si>
    <t>HPRD</t>
  </si>
  <si>
    <t>Calculations/Metrics</t>
  </si>
  <si>
    <t>Physical Therapist</t>
  </si>
  <si>
    <t>PT</t>
  </si>
  <si>
    <t>Phsyician Assistant</t>
  </si>
  <si>
    <t>PA</t>
  </si>
  <si>
    <t>Occupational Therapist</t>
  </si>
  <si>
    <t>OT</t>
  </si>
  <si>
    <t>Physician Assistant</t>
  </si>
  <si>
    <t>Includes CNA, Nurse Aide in Training, Med Aide/Tech</t>
  </si>
  <si>
    <t>Nurse Aides</t>
  </si>
  <si>
    <t>Nurse Practitioner</t>
  </si>
  <si>
    <t>NP</t>
  </si>
  <si>
    <t>Nurse Aide in Training</t>
  </si>
  <si>
    <t>NA TR</t>
  </si>
  <si>
    <t>Medication Aide</t>
  </si>
  <si>
    <t>Med Aide/Tech</t>
  </si>
  <si>
    <t>Licensed Practical Nurse</t>
  </si>
  <si>
    <t>LPN</t>
  </si>
  <si>
    <t>Minutes Per Resident Day</t>
  </si>
  <si>
    <t>Hours Per Resident Day</t>
  </si>
  <si>
    <t>Certified Nursing Assistant</t>
  </si>
  <si>
    <t>CNA</t>
  </si>
  <si>
    <t>Glossary</t>
  </si>
  <si>
    <t>WY</t>
  </si>
  <si>
    <t>WV</t>
  </si>
  <si>
    <t>WI</t>
  </si>
  <si>
    <t>WA</t>
  </si>
  <si>
    <t>VT</t>
  </si>
  <si>
    <t>VA</t>
  </si>
  <si>
    <t>UT</t>
  </si>
  <si>
    <t>TX</t>
  </si>
  <si>
    <t>TN</t>
  </si>
  <si>
    <t>SD</t>
  </si>
  <si>
    <t>SC</t>
  </si>
  <si>
    <t>RI</t>
  </si>
  <si>
    <t>PR</t>
  </si>
  <si>
    <t>OR</t>
  </si>
  <si>
    <t>OK</t>
  </si>
  <si>
    <t>OH</t>
  </si>
  <si>
    <t>NY</t>
  </si>
  <si>
    <t>NV</t>
  </si>
  <si>
    <t>NM</t>
  </si>
  <si>
    <t>NJ</t>
  </si>
  <si>
    <t>NH</t>
  </si>
  <si>
    <t>NE</t>
  </si>
  <si>
    <t>ND</t>
  </si>
  <si>
    <t>NC</t>
  </si>
  <si>
    <t>MT</t>
  </si>
  <si>
    <t>MS</t>
  </si>
  <si>
    <t>MO</t>
  </si>
  <si>
    <t>MN</t>
  </si>
  <si>
    <t>MI</t>
  </si>
  <si>
    <t>ME</t>
  </si>
  <si>
    <t>MD</t>
  </si>
  <si>
    <t>MA</t>
  </si>
  <si>
    <t>LA</t>
  </si>
  <si>
    <t>KY</t>
  </si>
  <si>
    <t>KS</t>
  </si>
  <si>
    <t>IN</t>
  </si>
  <si>
    <t>IL</t>
  </si>
  <si>
    <t>ID</t>
  </si>
  <si>
    <t>IA</t>
  </si>
  <si>
    <t>HI</t>
  </si>
  <si>
    <t>GA</t>
  </si>
  <si>
    <t>FL</t>
  </si>
  <si>
    <t>Residents Per Nursing Home</t>
  </si>
  <si>
    <t>DE</t>
  </si>
  <si>
    <t>Total Census</t>
  </si>
  <si>
    <t>DC</t>
  </si>
  <si>
    <t>Total Nursing Homes</t>
  </si>
  <si>
    <t>CT</t>
  </si>
  <si>
    <t>CO</t>
  </si>
  <si>
    <t>CA</t>
  </si>
  <si>
    <t>AZ</t>
  </si>
  <si>
    <t>AR</t>
  </si>
  <si>
    <t>AL</t>
  </si>
  <si>
    <t>AK</t>
  </si>
  <si>
    <t>Staffing Category</t>
  </si>
  <si>
    <t>Providers</t>
  </si>
  <si>
    <t>State</t>
  </si>
  <si>
    <t>CMS Region Number</t>
  </si>
  <si>
    <t>Median</t>
  </si>
  <si>
    <t>National - Q1 2025</t>
  </si>
  <si>
    <t xml:space="preserve">Med Aide </t>
  </si>
  <si>
    <t xml:space="preserve">NA TR </t>
  </si>
  <si>
    <t xml:space="preserve">CNA </t>
  </si>
  <si>
    <t xml:space="preserve">LPN Admin </t>
  </si>
  <si>
    <t xml:space="preserve">LPN </t>
  </si>
  <si>
    <t xml:space="preserve">RN DON </t>
  </si>
  <si>
    <t xml:space="preserve">RN Admin </t>
  </si>
  <si>
    <t xml:space="preserve">RN </t>
  </si>
  <si>
    <t>Total Hours</t>
  </si>
  <si>
    <t>Contract Hours2</t>
  </si>
  <si>
    <t>% Contract Hours</t>
  </si>
  <si>
    <t>Contract Hours by Position</t>
  </si>
  <si>
    <t>Percent Deviation</t>
  </si>
  <si>
    <t>-</t>
  </si>
  <si>
    <t>Total CNA, NA TR, Med Aide/Tech</t>
  </si>
  <si>
    <t>LPN Admin</t>
  </si>
  <si>
    <t>% Providers ≥ 3.48 HPRD &amp; ≥ 0.75 Total RN HPRD</t>
  </si>
  <si>
    <t>LPN (excl. Admin)</t>
  </si>
  <si>
    <t>% Providers ≥ 0.75 Total RN HPRD</t>
  </si>
  <si>
    <t>Total LPN</t>
  </si>
  <si>
    <r>
      <t xml:space="preserve">% Providers </t>
    </r>
    <r>
      <rPr>
        <b/>
        <sz val="11"/>
        <color theme="1"/>
        <rFont val="Calibri"/>
        <family val="2"/>
      </rPr>
      <t>≥</t>
    </r>
    <r>
      <rPr>
        <b/>
        <sz val="11"/>
        <color theme="1"/>
        <rFont val="Aptos Narrow"/>
        <family val="2"/>
        <scheme val="minor"/>
      </rPr>
      <t xml:space="preserve"> 3.48 HPRD</t>
    </r>
  </si>
  <si>
    <t>RN DON</t>
  </si>
  <si>
    <r>
      <t xml:space="preserve">% Providers </t>
    </r>
    <r>
      <rPr>
        <b/>
        <sz val="11"/>
        <color theme="1"/>
        <rFont val="Calibri"/>
        <family val="2"/>
      </rPr>
      <t>≥</t>
    </r>
    <r>
      <rPr>
        <b/>
        <sz val="11"/>
        <color theme="1"/>
        <rFont val="Aptos Narrow"/>
        <family val="2"/>
        <scheme val="minor"/>
      </rPr>
      <t xml:space="preserve"> 4.1 HPRD</t>
    </r>
  </si>
  <si>
    <t>RN Admin</t>
  </si>
  <si>
    <t>RN (excl. Admin, DON)</t>
  </si>
  <si>
    <t>RN HPRD (excl. Admin, DON)</t>
  </si>
  <si>
    <t>*</t>
  </si>
  <si>
    <t>Total Nurse Staffing</t>
  </si>
  <si>
    <t>Percentage of Total</t>
  </si>
  <si>
    <t>US Total</t>
  </si>
  <si>
    <t>Rank: % Contract</t>
  </si>
  <si>
    <t>% Contract</t>
  </si>
  <si>
    <t>Rank: RN Staff HPRD</t>
  </si>
  <si>
    <t>RN Staff HPRD</t>
  </si>
  <si>
    <t>% NHs ≥ 0.75 Total RN</t>
  </si>
  <si>
    <t>% NHs ≥ 3.48 HPRD</t>
  </si>
  <si>
    <t>% Providers ≥ 4.1 HPRD</t>
  </si>
  <si>
    <t>Percent Deviation From Expected Nurse Staffing</t>
  </si>
  <si>
    <t>Rank: Total Nurse Staff HPRD</t>
  </si>
  <si>
    <t>US Average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</si>
</sst>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0.0%"/>
    <numFmt numFmtId="165" formatCode="0.0"/>
    <numFmt numFmtId="166" formatCode="#,##0.000"/>
    <numFmt numFmtId="167" formatCode="0.000000000000"/>
  </numFmts>
  <fonts count="16" x14ac:knownFonts="1">
    <font>
      <sz val="12"/>
      <color theme="1"/>
      <name val="Calibri"/>
      <family val="2"/>
    </font>
    <font>
      <sz val="12"/>
      <color theme="1"/>
      <name val="Calibri"/>
      <family val="2"/>
    </font>
    <font>
      <b/>
      <sz val="11"/>
      <color theme="0"/>
      <name val="Aptos Narrow"/>
      <family val="2"/>
      <scheme val="minor"/>
    </font>
    <font>
      <sz val="11"/>
      <color theme="1"/>
      <name val="Aptos Narrow"/>
      <family val="2"/>
      <scheme val="minor"/>
    </font>
    <font>
      <sz val="12"/>
      <color theme="1"/>
      <name val="Aptos Narrow"/>
      <family val="2"/>
      <scheme val="minor"/>
    </font>
    <font>
      <sz val="8.4"/>
      <color theme="1"/>
      <name val="Calibri"/>
      <family val="2"/>
    </font>
    <font>
      <b/>
      <sz val="18"/>
      <color theme="1"/>
      <name val="Aptos Narrow"/>
      <family val="2"/>
      <scheme val="minor"/>
    </font>
    <font>
      <sz val="12"/>
      <color rgb="FF000000"/>
      <name val="Calibri"/>
      <family val="2"/>
    </font>
    <font>
      <b/>
      <sz val="12"/>
      <color theme="1"/>
      <name val="Aptos Narrow"/>
      <family val="2"/>
      <scheme val="minor"/>
    </font>
    <font>
      <sz val="11"/>
      <color rgb="FF000000"/>
      <name val="Calibri"/>
      <family val="2"/>
    </font>
    <font>
      <i/>
      <sz val="12"/>
      <color theme="1"/>
      <name val="Aptos Narrow"/>
      <family val="2"/>
      <scheme val="minor"/>
    </font>
    <font>
      <b/>
      <sz val="11"/>
      <color rgb="FF000000"/>
      <name val="Calibri"/>
      <family val="2"/>
    </font>
    <font>
      <b/>
      <sz val="11"/>
      <color theme="1"/>
      <name val="Aptos Narrow"/>
      <family val="2"/>
      <scheme val="minor"/>
    </font>
    <font>
      <b/>
      <sz val="11"/>
      <color theme="1"/>
      <name val="Calibri"/>
      <family val="2"/>
    </font>
    <font>
      <sz val="11"/>
      <color theme="1"/>
      <name val="Calibri"/>
      <family val="2"/>
    </font>
    <font>
      <b/>
      <i/>
      <sz val="11"/>
      <color theme="1"/>
      <name val="Aptos Narrow"/>
      <family val="2"/>
      <scheme val="minor"/>
    </font>
  </fonts>
  <fills count="6">
    <fill>
      <patternFill patternType="none"/>
    </fill>
    <fill>
      <patternFill patternType="gray125"/>
    </fill>
    <fill>
      <patternFill patternType="solid">
        <fgColor theme="4"/>
        <bgColor theme="4"/>
      </patternFill>
    </fill>
    <fill>
      <patternFill patternType="solid">
        <fgColor theme="0" tint="-0.14999847407452621"/>
        <bgColor theme="0" tint="-0.14999847407452621"/>
      </patternFill>
    </fill>
    <fill>
      <patternFill patternType="solid">
        <fgColor theme="4" tint="0.79998168889431442"/>
        <bgColor indexed="64"/>
      </patternFill>
    </fill>
    <fill>
      <patternFill patternType="solid">
        <fgColor theme="4" tint="0.39997558519241921"/>
        <bgColor indexed="64"/>
      </patternFill>
    </fill>
  </fills>
  <borders count="15">
    <border>
      <left/>
      <right/>
      <top/>
      <bottom/>
      <diagonal/>
    </border>
    <border>
      <left/>
      <right/>
      <top/>
      <bottom style="medium">
        <color theme="1"/>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right style="thin">
        <color indexed="64"/>
      </right>
      <top/>
      <bottom/>
      <diagonal/>
    </border>
    <border>
      <left style="thin">
        <color indexed="64"/>
      </left>
      <right style="thin">
        <color indexed="64"/>
      </right>
      <top/>
      <bottom/>
      <diagonal/>
    </border>
    <border>
      <left style="thin">
        <color indexed="64"/>
      </left>
      <right/>
      <top/>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right/>
      <top style="thin">
        <color indexed="64"/>
      </top>
      <bottom/>
      <diagonal/>
    </border>
    <border>
      <left style="thin">
        <color indexed="64"/>
      </left>
      <right/>
      <top style="thin">
        <color indexed="64"/>
      </top>
      <bottom/>
      <diagonal/>
    </border>
    <border>
      <left/>
      <right/>
      <top/>
      <bottom style="thin">
        <color indexed="64"/>
      </bottom>
      <diagonal/>
    </border>
    <border>
      <left style="thin">
        <color theme="1"/>
      </left>
      <right/>
      <top style="thin">
        <color theme="1"/>
      </top>
      <bottom/>
      <diagonal/>
    </border>
  </borders>
  <cellStyleXfs count="5">
    <xf numFmtId="0" fontId="0" fillId="0" borderId="0"/>
    <xf numFmtId="9" fontId="1" fillId="0" borderId="0" applyFont="0" applyFill="0" applyBorder="0" applyAlignment="0" applyProtection="0"/>
    <xf numFmtId="0" fontId="3" fillId="0" borderId="0"/>
    <xf numFmtId="0" fontId="3" fillId="0" borderId="0"/>
    <xf numFmtId="9" fontId="3" fillId="0" borderId="0" applyFont="0" applyFill="0" applyBorder="0" applyAlignment="0" applyProtection="0"/>
  </cellStyleXfs>
  <cellXfs count="73">
    <xf numFmtId="0" fontId="0" fillId="0" borderId="0" xfId="0"/>
    <xf numFmtId="0" fontId="0" fillId="3" borderId="0" xfId="0" applyFill="1"/>
    <xf numFmtId="2" fontId="0" fillId="3" borderId="0" xfId="0" applyNumberFormat="1" applyFill="1"/>
    <xf numFmtId="164" fontId="0" fillId="3" borderId="0" xfId="1" applyNumberFormat="1" applyFont="1" applyFill="1"/>
    <xf numFmtId="164" fontId="0" fillId="3" borderId="0" xfId="0" applyNumberFormat="1" applyFill="1"/>
    <xf numFmtId="2" fontId="0" fillId="0" borderId="0" xfId="0" applyNumberFormat="1"/>
    <xf numFmtId="164" fontId="0" fillId="0" borderId="0" xfId="1" applyNumberFormat="1" applyFont="1"/>
    <xf numFmtId="164" fontId="0" fillId="0" borderId="0" xfId="0" applyNumberFormat="1"/>
    <xf numFmtId="165" fontId="0" fillId="3" borderId="0" xfId="1" applyNumberFormat="1" applyFont="1" applyFill="1"/>
    <xf numFmtId="165" fontId="0" fillId="0" borderId="0" xfId="1" applyNumberFormat="1" applyFont="1"/>
    <xf numFmtId="0" fontId="2" fillId="2" borderId="1" xfId="0" applyFont="1" applyFill="1" applyBorder="1" applyAlignment="1">
      <alignment wrapText="1"/>
    </xf>
    <xf numFmtId="10" fontId="2" fillId="2" borderId="1" xfId="1" applyNumberFormat="1" applyFont="1" applyFill="1" applyBorder="1" applyAlignment="1">
      <alignment wrapText="1"/>
    </xf>
    <xf numFmtId="0" fontId="0" fillId="0" borderId="0" xfId="0" applyBorder="1"/>
    <xf numFmtId="2" fontId="0" fillId="0" borderId="0" xfId="0" applyNumberFormat="1" applyBorder="1"/>
    <xf numFmtId="164" fontId="0" fillId="0" borderId="0" xfId="1" applyNumberFormat="1" applyFont="1" applyBorder="1"/>
    <xf numFmtId="164" fontId="0" fillId="0" borderId="0" xfId="0" applyNumberFormat="1" applyBorder="1"/>
    <xf numFmtId="165" fontId="0" fillId="0" borderId="0" xfId="1" applyNumberFormat="1" applyFont="1" applyBorder="1"/>
    <xf numFmtId="0" fontId="4" fillId="0" borderId="0" xfId="2" applyFont="1"/>
    <xf numFmtId="0" fontId="4" fillId="0" borderId="2" xfId="2" applyFont="1" applyBorder="1"/>
    <xf numFmtId="0" fontId="4" fillId="0" borderId="3" xfId="2" applyFont="1" applyBorder="1"/>
    <xf numFmtId="0" fontId="4" fillId="0" borderId="4" xfId="2" applyFont="1" applyBorder="1"/>
    <xf numFmtId="0" fontId="4" fillId="0" borderId="5" xfId="2" applyFont="1" applyBorder="1"/>
    <xf numFmtId="0" fontId="4" fillId="0" borderId="6" xfId="2" applyFont="1" applyBorder="1"/>
    <xf numFmtId="0" fontId="4" fillId="4" borderId="7" xfId="2" applyFont="1" applyFill="1" applyBorder="1"/>
    <xf numFmtId="0" fontId="6" fillId="4" borderId="8" xfId="2" applyFont="1" applyFill="1" applyBorder="1"/>
    <xf numFmtId="0" fontId="7" fillId="0" borderId="0" xfId="3" applyFont="1" applyAlignment="1">
      <alignment horizontal="left" vertical="top" wrapText="1"/>
    </xf>
    <xf numFmtId="0" fontId="4" fillId="0" borderId="9" xfId="2" applyFont="1" applyBorder="1"/>
    <xf numFmtId="0" fontId="4" fillId="0" borderId="10" xfId="2" applyFont="1" applyBorder="1"/>
    <xf numFmtId="1" fontId="4" fillId="0" borderId="0" xfId="2" applyNumberFormat="1" applyFont="1"/>
    <xf numFmtId="0" fontId="3" fillId="0" borderId="0" xfId="2"/>
    <xf numFmtId="4" fontId="4" fillId="0" borderId="0" xfId="2" applyNumberFormat="1" applyFont="1"/>
    <xf numFmtId="3" fontId="4" fillId="0" borderId="0" xfId="2" applyNumberFormat="1" applyFont="1"/>
    <xf numFmtId="0" fontId="4" fillId="0" borderId="0" xfId="2" applyFont="1" applyAlignment="1">
      <alignment vertical="top" wrapText="1"/>
    </xf>
    <xf numFmtId="2" fontId="9" fillId="0" borderId="0" xfId="3" applyNumberFormat="1" applyFont="1" applyAlignment="1">
      <alignment vertical="top"/>
    </xf>
    <xf numFmtId="3" fontId="9" fillId="0" borderId="0" xfId="3" applyNumberFormat="1" applyFont="1" applyAlignment="1">
      <alignment vertical="top"/>
    </xf>
    <xf numFmtId="2" fontId="9" fillId="0" borderId="12" xfId="3" applyNumberFormat="1" applyFont="1" applyBorder="1" applyAlignment="1">
      <alignment vertical="top"/>
    </xf>
    <xf numFmtId="2" fontId="9" fillId="0" borderId="3" xfId="3" applyNumberFormat="1" applyFont="1" applyBorder="1" applyAlignment="1">
      <alignment vertical="top"/>
    </xf>
    <xf numFmtId="0" fontId="13" fillId="0" borderId="13" xfId="3" applyFont="1" applyBorder="1" applyAlignment="1">
      <alignment vertical="top" wrapText="1"/>
    </xf>
    <xf numFmtId="2" fontId="9" fillId="0" borderId="6" xfId="3" applyNumberFormat="1" applyFont="1" applyBorder="1" applyAlignment="1">
      <alignment vertical="top"/>
    </xf>
    <xf numFmtId="0" fontId="13" fillId="0" borderId="11" xfId="3" applyFont="1" applyBorder="1" applyAlignment="1">
      <alignment vertical="top" wrapText="1"/>
    </xf>
    <xf numFmtId="2" fontId="14" fillId="0" borderId="0" xfId="3" applyNumberFormat="1" applyFont="1" applyAlignment="1">
      <alignment vertical="top"/>
    </xf>
    <xf numFmtId="0" fontId="13" fillId="0" borderId="4" xfId="3" applyFont="1" applyBorder="1" applyAlignment="1">
      <alignment vertical="top" wrapText="1"/>
    </xf>
    <xf numFmtId="0" fontId="4" fillId="0" borderId="0" xfId="2" applyFont="1" applyAlignment="1">
      <alignment wrapText="1"/>
    </xf>
    <xf numFmtId="0" fontId="10" fillId="0" borderId="0" xfId="2" applyFont="1" applyAlignment="1">
      <alignment horizontal="left" wrapText="1"/>
    </xf>
    <xf numFmtId="0" fontId="4" fillId="0" borderId="0" xfId="2" applyFont="1" applyAlignment="1">
      <alignment horizontal="left" wrapText="1"/>
    </xf>
    <xf numFmtId="0" fontId="3" fillId="0" borderId="0" xfId="2" applyAlignment="1">
      <alignment horizontal="left" wrapText="1"/>
    </xf>
    <xf numFmtId="2" fontId="8" fillId="5" borderId="0" xfId="2" applyNumberFormat="1" applyFont="1" applyFill="1" applyAlignment="1">
      <alignment horizontal="left" wrapText="1"/>
    </xf>
    <xf numFmtId="164" fontId="4" fillId="0" borderId="0" xfId="4" applyNumberFormat="1" applyFont="1"/>
    <xf numFmtId="2" fontId="4" fillId="0" borderId="0" xfId="2" applyNumberFormat="1" applyFont="1"/>
    <xf numFmtId="3" fontId="8" fillId="0" borderId="0" xfId="2" applyNumberFormat="1" applyFont="1"/>
    <xf numFmtId="164" fontId="8" fillId="0" borderId="0" xfId="4" applyNumberFormat="1" applyFont="1"/>
    <xf numFmtId="0" fontId="8" fillId="0" borderId="0" xfId="2" applyFont="1"/>
    <xf numFmtId="164" fontId="0" fillId="0" borderId="0" xfId="4" applyNumberFormat="1" applyFont="1" applyFill="1"/>
    <xf numFmtId="164" fontId="9" fillId="0" borderId="6" xfId="4" applyNumberFormat="1" applyFont="1" applyFill="1" applyBorder="1" applyAlignment="1">
      <alignment vertical="top"/>
    </xf>
    <xf numFmtId="0" fontId="15" fillId="0" borderId="4" xfId="2" applyFont="1" applyBorder="1"/>
    <xf numFmtId="10" fontId="4" fillId="0" borderId="0" xfId="2" applyNumberFormat="1" applyFont="1"/>
    <xf numFmtId="3" fontId="10" fillId="0" borderId="14" xfId="2" applyNumberFormat="1" applyFont="1" applyBorder="1"/>
    <xf numFmtId="2" fontId="3" fillId="0" borderId="0" xfId="2" applyNumberFormat="1"/>
    <xf numFmtId="3" fontId="10" fillId="0" borderId="0" xfId="2" applyNumberFormat="1" applyFont="1"/>
    <xf numFmtId="166" fontId="4" fillId="0" borderId="0" xfId="2" applyNumberFormat="1" applyFont="1"/>
    <xf numFmtId="0" fontId="11" fillId="0" borderId="4" xfId="3" applyFont="1" applyBorder="1" applyAlignment="1">
      <alignment vertical="top" wrapText="1"/>
    </xf>
    <xf numFmtId="167" fontId="4" fillId="0" borderId="0" xfId="2" applyNumberFormat="1" applyFont="1"/>
    <xf numFmtId="3" fontId="9" fillId="0" borderId="6" xfId="3" applyNumberFormat="1" applyFont="1" applyBorder="1" applyAlignment="1">
      <alignment vertical="top"/>
    </xf>
    <xf numFmtId="0" fontId="12" fillId="0" borderId="4" xfId="2" applyFont="1" applyBorder="1"/>
    <xf numFmtId="4" fontId="4" fillId="0" borderId="0" xfId="2" applyNumberFormat="1" applyFont="1" applyAlignment="1">
      <alignment wrapText="1"/>
    </xf>
    <xf numFmtId="164" fontId="9" fillId="0" borderId="5" xfId="4" applyNumberFormat="1" applyFont="1" applyFill="1" applyBorder="1" applyAlignment="1">
      <alignment vertical="top"/>
    </xf>
    <xf numFmtId="0" fontId="12" fillId="0" borderId="4" xfId="2" applyFont="1" applyBorder="1" applyAlignment="1">
      <alignment wrapText="1"/>
    </xf>
    <xf numFmtId="164" fontId="9" fillId="0" borderId="8" xfId="4" applyNumberFormat="1" applyFont="1" applyFill="1" applyBorder="1" applyAlignment="1">
      <alignment vertical="top"/>
    </xf>
    <xf numFmtId="0" fontId="12" fillId="0" borderId="7" xfId="2" applyFont="1" applyBorder="1" applyAlignment="1">
      <alignment wrapText="1"/>
    </xf>
    <xf numFmtId="2" fontId="9" fillId="0" borderId="10" xfId="3" applyNumberFormat="1" applyFont="1" applyBorder="1" applyAlignment="1">
      <alignment vertical="top"/>
    </xf>
    <xf numFmtId="0" fontId="14" fillId="0" borderId="13" xfId="3" applyFont="1" applyBorder="1" applyAlignment="1">
      <alignment vertical="top" wrapText="1"/>
    </xf>
    <xf numFmtId="164" fontId="4" fillId="0" borderId="0" xfId="4" applyNumberFormat="1" applyFont="1" applyAlignment="1">
      <alignment wrapText="1"/>
    </xf>
    <xf numFmtId="1" fontId="4" fillId="0" borderId="0" xfId="2" applyNumberFormat="1" applyFont="1" applyAlignment="1">
      <alignment horizontal="left" wrapText="1"/>
    </xf>
  </cellXfs>
  <cellStyles count="5">
    <cellStyle name="Normal" xfId="0" builtinId="0"/>
    <cellStyle name="Normal 2" xfId="2" xr:uid="{B79F8E3D-9818-8C4D-AE08-67392B364B20}"/>
    <cellStyle name="Normal 2 2" xfId="3" xr:uid="{90A132CB-50E3-6E42-B900-1BEC6890DC4F}"/>
    <cellStyle name="Percent" xfId="1" builtinId="5"/>
    <cellStyle name="Percent 2" xfId="4" xr:uid="{D71FD9F6-FAB8-AD42-A67E-7161BE3EF30B}"/>
  </cellStyles>
  <dxfs count="70">
    <dxf>
      <font>
        <strike val="0"/>
        <outline val="0"/>
        <shadow val="0"/>
        <u val="none"/>
        <vertAlign val="baseline"/>
        <sz val="12"/>
        <color theme="1"/>
        <name val="Aptos Narrow"/>
        <family val="2"/>
        <scheme val="minor"/>
      </font>
      <numFmt numFmtId="3" formatCode="#,##0"/>
    </dxf>
    <dxf>
      <font>
        <strike val="0"/>
        <outline val="0"/>
        <shadow val="0"/>
        <u val="none"/>
        <vertAlign val="baseline"/>
        <sz val="12"/>
        <color theme="1"/>
        <name val="Aptos Narrow"/>
        <family val="2"/>
        <scheme val="minor"/>
      </font>
      <numFmt numFmtId="3" formatCode="#,##0"/>
    </dxf>
    <dxf>
      <font>
        <strike val="0"/>
        <outline val="0"/>
        <shadow val="0"/>
        <u val="none"/>
        <vertAlign val="baseline"/>
        <sz val="12"/>
        <color theme="1"/>
        <name val="Aptos Narrow"/>
        <family val="2"/>
        <scheme val="minor"/>
      </font>
      <numFmt numFmtId="164" formatCode="0.0%"/>
    </dxf>
    <dxf>
      <font>
        <strike val="0"/>
        <outline val="0"/>
        <shadow val="0"/>
        <u val="none"/>
        <vertAlign val="baseline"/>
        <sz val="12"/>
        <color theme="1"/>
        <name val="Aptos Narrow"/>
        <family val="2"/>
        <scheme val="minor"/>
      </font>
    </dxf>
    <dxf>
      <font>
        <strike val="0"/>
        <outline val="0"/>
        <shadow val="0"/>
        <u val="none"/>
        <vertAlign val="baseline"/>
        <sz val="12"/>
        <color rgb="FF000000"/>
        <name val="Calibri"/>
        <family val="2"/>
        <scheme val="none"/>
      </font>
    </dxf>
    <dxf>
      <font>
        <b val="0"/>
        <i val="0"/>
        <strike val="0"/>
        <condense val="0"/>
        <extend val="0"/>
        <outline val="0"/>
        <shadow val="0"/>
        <u val="none"/>
        <vertAlign val="baseline"/>
        <sz val="12"/>
        <color theme="1"/>
        <name val="Aptos Narrow"/>
        <family val="2"/>
        <scheme val="minor"/>
      </font>
    </dxf>
    <dxf>
      <font>
        <b val="0"/>
        <i val="0"/>
        <strike val="0"/>
        <condense val="0"/>
        <extend val="0"/>
        <outline val="0"/>
        <shadow val="0"/>
        <u val="none"/>
        <vertAlign val="baseline"/>
        <sz val="12"/>
        <color theme="1"/>
        <name val="Aptos Narrow"/>
        <family val="2"/>
        <scheme val="minor"/>
      </font>
      <numFmt numFmtId="4" formatCode="#,##0.00"/>
    </dxf>
    <dxf>
      <font>
        <b val="0"/>
        <i val="0"/>
        <strike val="0"/>
        <condense val="0"/>
        <extend val="0"/>
        <outline val="0"/>
        <shadow val="0"/>
        <u val="none"/>
        <vertAlign val="baseline"/>
        <sz val="12"/>
        <color theme="1"/>
        <name val="Aptos Narrow"/>
        <family val="2"/>
        <scheme val="minor"/>
      </font>
      <numFmt numFmtId="14" formatCode="0.00%"/>
    </dxf>
    <dxf>
      <font>
        <b val="0"/>
        <i val="0"/>
        <strike val="0"/>
        <condense val="0"/>
        <extend val="0"/>
        <outline val="0"/>
        <shadow val="0"/>
        <u val="none"/>
        <vertAlign val="baseline"/>
        <sz val="12"/>
        <color theme="1"/>
        <name val="Aptos Narrow"/>
        <family val="2"/>
        <scheme val="minor"/>
      </font>
      <numFmt numFmtId="3" formatCode="#,##0"/>
    </dxf>
    <dxf>
      <font>
        <b val="0"/>
        <i val="0"/>
        <strike val="0"/>
        <condense val="0"/>
        <extend val="0"/>
        <outline val="0"/>
        <shadow val="0"/>
        <u val="none"/>
        <vertAlign val="baseline"/>
        <sz val="12"/>
        <color theme="1"/>
        <name val="Aptos Narrow"/>
        <family val="2"/>
        <scheme val="minor"/>
      </font>
      <numFmt numFmtId="3" formatCode="#,##0"/>
    </dxf>
    <dxf>
      <font>
        <strike val="0"/>
        <outline val="0"/>
        <shadow val="0"/>
        <u val="none"/>
        <vertAlign val="baseline"/>
        <sz val="12"/>
        <color rgb="FF000000"/>
        <name val="Calibri"/>
        <family val="2"/>
        <scheme val="none"/>
      </font>
      <numFmt numFmtId="3" formatCode="#,##0"/>
    </dxf>
    <dxf>
      <font>
        <b val="0"/>
        <i val="0"/>
        <strike val="0"/>
        <condense val="0"/>
        <extend val="0"/>
        <outline val="0"/>
        <shadow val="0"/>
        <u val="none"/>
        <vertAlign val="baseline"/>
        <sz val="12"/>
        <color theme="1"/>
        <name val="Aptos Narrow"/>
        <family val="2"/>
        <scheme val="minor"/>
      </font>
    </dxf>
    <dxf>
      <font>
        <b val="0"/>
        <i val="0"/>
        <strike val="0"/>
        <condense val="0"/>
        <extend val="0"/>
        <outline val="0"/>
        <shadow val="0"/>
        <u val="none"/>
        <vertAlign val="baseline"/>
        <sz val="12"/>
        <color theme="1"/>
        <name val="Aptos Narrow"/>
        <family val="2"/>
        <scheme val="minor"/>
      </font>
      <numFmt numFmtId="1" formatCode="0"/>
    </dxf>
    <dxf>
      <font>
        <b val="0"/>
        <i val="0"/>
        <strike val="0"/>
        <condense val="0"/>
        <extend val="0"/>
        <outline val="0"/>
        <shadow val="0"/>
        <u val="none"/>
        <vertAlign val="baseline"/>
        <sz val="12"/>
        <color theme="1"/>
        <name val="Aptos Narrow"/>
        <family val="2"/>
        <scheme val="minor"/>
      </font>
      <numFmt numFmtId="164" formatCode="0.0%"/>
    </dxf>
    <dxf>
      <font>
        <b val="0"/>
        <i val="0"/>
        <strike val="0"/>
        <condense val="0"/>
        <extend val="0"/>
        <outline val="0"/>
        <shadow val="0"/>
        <u val="none"/>
        <vertAlign val="baseline"/>
        <sz val="12"/>
        <color theme="1"/>
        <name val="Aptos Narrow"/>
        <family val="2"/>
        <scheme val="minor"/>
      </font>
      <numFmt numFmtId="1" formatCode="0"/>
    </dxf>
    <dxf>
      <font>
        <b val="0"/>
        <i val="0"/>
        <strike val="0"/>
        <condense val="0"/>
        <extend val="0"/>
        <outline val="0"/>
        <shadow val="0"/>
        <u val="none"/>
        <vertAlign val="baseline"/>
        <sz val="12"/>
        <color theme="1"/>
        <name val="Aptos Narrow"/>
        <family val="2"/>
        <scheme val="minor"/>
      </font>
      <numFmt numFmtId="2" formatCode="0.00"/>
    </dxf>
    <dxf>
      <font>
        <b val="0"/>
        <i val="0"/>
        <strike val="0"/>
        <condense val="0"/>
        <extend val="0"/>
        <outline val="0"/>
        <shadow val="0"/>
        <u val="none"/>
        <vertAlign val="baseline"/>
        <sz val="12"/>
        <color theme="1"/>
        <name val="Aptos Narrow"/>
        <family val="2"/>
        <scheme val="minor"/>
      </font>
      <numFmt numFmtId="164" formatCode="0.0%"/>
    </dxf>
    <dxf>
      <font>
        <b val="0"/>
        <i val="0"/>
        <strike val="0"/>
        <condense val="0"/>
        <extend val="0"/>
        <outline val="0"/>
        <shadow val="0"/>
        <u val="none"/>
        <vertAlign val="baseline"/>
        <sz val="12"/>
        <color theme="1"/>
        <name val="Aptos Narrow"/>
        <family val="2"/>
        <scheme val="minor"/>
      </font>
      <numFmt numFmtId="164" formatCode="0.0%"/>
    </dxf>
    <dxf>
      <font>
        <b val="0"/>
        <i val="0"/>
        <strike val="0"/>
        <condense val="0"/>
        <extend val="0"/>
        <outline val="0"/>
        <shadow val="0"/>
        <u val="none"/>
        <vertAlign val="baseline"/>
        <sz val="12"/>
        <color theme="1"/>
        <name val="Aptos Narrow"/>
        <family val="2"/>
        <scheme val="minor"/>
      </font>
      <numFmt numFmtId="164" formatCode="0.0%"/>
    </dxf>
    <dxf>
      <font>
        <b val="0"/>
        <i val="0"/>
        <strike val="0"/>
        <condense val="0"/>
        <extend val="0"/>
        <outline val="0"/>
        <shadow val="0"/>
        <u val="none"/>
        <vertAlign val="baseline"/>
        <sz val="12"/>
        <color theme="1"/>
        <name val="Aptos Narrow"/>
        <family val="2"/>
        <scheme val="minor"/>
      </font>
      <numFmt numFmtId="164" formatCode="0.0%"/>
    </dxf>
    <dxf>
      <font>
        <b val="0"/>
        <i val="0"/>
        <strike val="0"/>
        <condense val="0"/>
        <extend val="0"/>
        <outline val="0"/>
        <shadow val="0"/>
        <u val="none"/>
        <vertAlign val="baseline"/>
        <sz val="12"/>
        <color theme="1"/>
        <name val="Aptos Narrow"/>
        <family val="2"/>
        <scheme val="minor"/>
      </font>
      <numFmt numFmtId="2" formatCode="0.00"/>
    </dxf>
    <dxf>
      <font>
        <b val="0"/>
        <i val="0"/>
        <strike val="0"/>
        <condense val="0"/>
        <extend val="0"/>
        <outline val="0"/>
        <shadow val="0"/>
        <u val="none"/>
        <vertAlign val="baseline"/>
        <sz val="12"/>
        <color theme="1"/>
        <name val="Aptos Narrow"/>
        <family val="2"/>
        <scheme val="minor"/>
      </font>
      <numFmt numFmtId="1" formatCode="0"/>
    </dxf>
    <dxf>
      <font>
        <b val="0"/>
        <i val="0"/>
        <strike val="0"/>
        <condense val="0"/>
        <extend val="0"/>
        <outline val="0"/>
        <shadow val="0"/>
        <u val="none"/>
        <vertAlign val="baseline"/>
        <sz val="12"/>
        <color theme="1"/>
        <name val="Aptos Narrow"/>
        <family val="2"/>
        <scheme val="minor"/>
      </font>
      <numFmt numFmtId="4" formatCode="#,##0.00"/>
    </dxf>
    <dxf>
      <font>
        <b val="0"/>
        <i val="0"/>
        <strike val="0"/>
        <condense val="0"/>
        <extend val="0"/>
        <outline val="0"/>
        <shadow val="0"/>
        <u val="none"/>
        <vertAlign val="baseline"/>
        <sz val="12"/>
        <color theme="1"/>
        <name val="Aptos Narrow"/>
        <family val="2"/>
        <scheme val="minor"/>
      </font>
      <numFmt numFmtId="3" formatCode="#,##0"/>
    </dxf>
    <dxf>
      <font>
        <b val="0"/>
        <i val="0"/>
        <strike val="0"/>
        <condense val="0"/>
        <extend val="0"/>
        <outline val="0"/>
        <shadow val="0"/>
        <u val="none"/>
        <vertAlign val="baseline"/>
        <sz val="12"/>
        <color theme="1"/>
        <name val="Aptos Narrow"/>
        <family val="2"/>
        <scheme val="minor"/>
      </font>
      <numFmt numFmtId="3" formatCode="#,##0"/>
    </dxf>
    <dxf>
      <font>
        <b val="0"/>
        <i val="0"/>
        <strike val="0"/>
        <condense val="0"/>
        <extend val="0"/>
        <outline val="0"/>
        <shadow val="0"/>
        <u val="none"/>
        <vertAlign val="baseline"/>
        <sz val="12"/>
        <color theme="1"/>
        <name val="Aptos Narrow"/>
        <family val="2"/>
        <scheme val="minor"/>
      </font>
    </dxf>
    <dxf>
      <font>
        <b val="0"/>
        <i val="0"/>
        <strike val="0"/>
        <condense val="0"/>
        <extend val="0"/>
        <outline val="0"/>
        <shadow val="0"/>
        <u val="none"/>
        <vertAlign val="baseline"/>
        <sz val="12"/>
        <color rgb="FF000000"/>
        <name val="Calibri"/>
        <family val="2"/>
        <scheme val="none"/>
      </font>
    </dxf>
    <dxf>
      <font>
        <b val="0"/>
        <i val="0"/>
        <strike val="0"/>
        <condense val="0"/>
        <extend val="0"/>
        <outline val="0"/>
        <shadow val="0"/>
        <u val="none"/>
        <vertAlign val="baseline"/>
        <sz val="12"/>
        <color theme="1"/>
        <name val="Aptos Narrow"/>
        <family val="2"/>
        <scheme val="minor"/>
      </font>
      <alignment horizontal="left" vertical="bottom" textRotation="0" wrapText="1" indent="0" justifyLastLine="0" shrinkToFit="0" readingOrder="0"/>
    </dxf>
    <dxf>
      <font>
        <b val="0"/>
        <i val="0"/>
        <strike val="0"/>
        <condense val="0"/>
        <extend val="0"/>
        <outline val="0"/>
        <shadow val="0"/>
        <u val="none"/>
        <vertAlign val="baseline"/>
        <sz val="12"/>
        <color theme="1"/>
        <name val="Aptos Narrow"/>
        <family val="2"/>
        <scheme val="minor"/>
      </font>
      <numFmt numFmtId="3" formatCode="#,##0"/>
    </dxf>
    <dxf>
      <font>
        <b val="0"/>
        <i val="0"/>
        <strike val="0"/>
        <condense val="0"/>
        <extend val="0"/>
        <outline val="0"/>
        <shadow val="0"/>
        <u val="none"/>
        <vertAlign val="baseline"/>
        <sz val="12"/>
        <color theme="1"/>
        <name val="Aptos Narrow"/>
        <family val="2"/>
        <scheme val="minor"/>
      </font>
      <numFmt numFmtId="164" formatCode="0.0%"/>
    </dxf>
    <dxf>
      <font>
        <b val="0"/>
        <i val="0"/>
        <strike val="0"/>
        <condense val="0"/>
        <extend val="0"/>
        <outline val="0"/>
        <shadow val="0"/>
        <u val="none"/>
        <vertAlign val="baseline"/>
        <sz val="12"/>
        <color theme="1"/>
        <name val="Aptos Narrow"/>
        <family val="2"/>
        <scheme val="minor"/>
      </font>
      <numFmt numFmtId="3" formatCode="#,##0"/>
    </dxf>
    <dxf>
      <font>
        <b val="0"/>
        <i val="0"/>
        <strike val="0"/>
        <condense val="0"/>
        <extend val="0"/>
        <outline val="0"/>
        <shadow val="0"/>
        <u val="none"/>
        <vertAlign val="baseline"/>
        <sz val="12"/>
        <color theme="1"/>
        <name val="Aptos Narrow"/>
        <family val="2"/>
        <scheme val="minor"/>
      </font>
      <numFmt numFmtId="2" formatCode="0.00"/>
    </dxf>
    <dxf>
      <font>
        <b val="0"/>
        <i val="0"/>
        <strike val="0"/>
        <condense val="0"/>
        <extend val="0"/>
        <outline val="0"/>
        <shadow val="0"/>
        <u val="none"/>
        <vertAlign val="baseline"/>
        <sz val="12"/>
        <color theme="1"/>
        <name val="Aptos Narrow"/>
        <family val="2"/>
        <scheme val="minor"/>
      </font>
      <numFmt numFmtId="164" formatCode="0.0%"/>
    </dxf>
    <dxf>
      <font>
        <b val="0"/>
        <i val="0"/>
        <strike val="0"/>
        <condense val="0"/>
        <extend val="0"/>
        <outline val="0"/>
        <shadow val="0"/>
        <u val="none"/>
        <vertAlign val="baseline"/>
        <sz val="12"/>
        <color theme="1"/>
        <name val="Aptos Narrow"/>
        <family val="2"/>
        <scheme val="minor"/>
      </font>
      <numFmt numFmtId="164" formatCode="0.0%"/>
    </dxf>
    <dxf>
      <font>
        <b val="0"/>
        <i val="0"/>
        <strike val="0"/>
        <condense val="0"/>
        <extend val="0"/>
        <outline val="0"/>
        <shadow val="0"/>
        <u val="none"/>
        <vertAlign val="baseline"/>
        <sz val="12"/>
        <color theme="1"/>
        <name val="Aptos Narrow"/>
        <family val="2"/>
        <scheme val="minor"/>
      </font>
      <numFmt numFmtId="164" formatCode="0.0%"/>
    </dxf>
    <dxf>
      <font>
        <b val="0"/>
        <i val="0"/>
        <strike val="0"/>
        <condense val="0"/>
        <extend val="0"/>
        <outline val="0"/>
        <shadow val="0"/>
        <u val="none"/>
        <vertAlign val="baseline"/>
        <sz val="12"/>
        <color theme="1"/>
        <name val="Aptos Narrow"/>
        <family val="2"/>
        <scheme val="minor"/>
      </font>
      <numFmt numFmtId="164" formatCode="0.0%"/>
    </dxf>
    <dxf>
      <font>
        <b val="0"/>
        <i val="0"/>
        <strike val="0"/>
        <condense val="0"/>
        <extend val="0"/>
        <outline val="0"/>
        <shadow val="0"/>
        <u val="none"/>
        <vertAlign val="baseline"/>
        <sz val="12"/>
        <color theme="1"/>
        <name val="Aptos Narrow"/>
        <family val="2"/>
        <scheme val="minor"/>
      </font>
      <numFmt numFmtId="4" formatCode="#,##0.00"/>
    </dxf>
    <dxf>
      <font>
        <b val="0"/>
        <i val="0"/>
        <strike val="0"/>
        <condense val="0"/>
        <extend val="0"/>
        <outline val="0"/>
        <shadow val="0"/>
        <u val="none"/>
        <vertAlign val="baseline"/>
        <sz val="12"/>
        <color theme="1"/>
        <name val="Aptos Narrow"/>
        <family val="2"/>
        <scheme val="minor"/>
      </font>
      <numFmt numFmtId="3" formatCode="#,##0"/>
    </dxf>
    <dxf>
      <font>
        <b val="0"/>
        <i val="0"/>
        <strike val="0"/>
        <condense val="0"/>
        <extend val="0"/>
        <outline val="0"/>
        <shadow val="0"/>
        <u val="none"/>
        <vertAlign val="baseline"/>
        <sz val="12"/>
        <color theme="1"/>
        <name val="Aptos Narrow"/>
        <family val="2"/>
        <scheme val="minor"/>
      </font>
      <numFmt numFmtId="4" formatCode="#,##0.00"/>
    </dxf>
    <dxf>
      <font>
        <b val="0"/>
        <i val="0"/>
        <strike val="0"/>
        <condense val="0"/>
        <extend val="0"/>
        <outline val="0"/>
        <shadow val="0"/>
        <u val="none"/>
        <vertAlign val="baseline"/>
        <sz val="12"/>
        <color theme="1"/>
        <name val="Aptos Narrow"/>
        <family val="2"/>
        <scheme val="minor"/>
      </font>
      <numFmt numFmtId="3" formatCode="#,##0"/>
    </dxf>
    <dxf>
      <font>
        <b val="0"/>
        <i val="0"/>
        <strike val="0"/>
        <condense val="0"/>
        <extend val="0"/>
        <outline val="0"/>
        <shadow val="0"/>
        <u val="none"/>
        <vertAlign val="baseline"/>
        <sz val="12"/>
        <color theme="1"/>
        <name val="Aptos Narrow"/>
        <family val="2"/>
        <scheme val="minor"/>
      </font>
      <numFmt numFmtId="3" formatCode="#,##0"/>
    </dxf>
    <dxf>
      <font>
        <b val="0"/>
        <i val="0"/>
        <strike val="0"/>
        <condense val="0"/>
        <extend val="0"/>
        <outline val="0"/>
        <shadow val="0"/>
        <u val="none"/>
        <vertAlign val="baseline"/>
        <sz val="12"/>
        <color theme="1"/>
        <name val="Aptos Narrow"/>
        <family val="2"/>
        <scheme val="minor"/>
      </font>
    </dxf>
    <dxf>
      <font>
        <b val="0"/>
        <i val="0"/>
        <strike val="0"/>
        <condense val="0"/>
        <extend val="0"/>
        <outline val="0"/>
        <shadow val="0"/>
        <u val="none"/>
        <vertAlign val="baseline"/>
        <sz val="12"/>
        <color rgb="FF000000"/>
        <name val="Calibri"/>
        <family val="2"/>
        <scheme val="none"/>
      </font>
    </dxf>
    <dxf>
      <font>
        <b val="0"/>
        <i val="0"/>
        <strike val="0"/>
        <condense val="0"/>
        <extend val="0"/>
        <outline val="0"/>
        <shadow val="0"/>
        <u val="none"/>
        <vertAlign val="baseline"/>
        <sz val="12"/>
        <color theme="1"/>
        <name val="Aptos Narrow"/>
        <family val="2"/>
        <scheme val="minor"/>
      </font>
      <alignment horizontal="left" vertical="bottom" textRotation="0" wrapText="1" indent="0" justifyLastLine="0" shrinkToFit="0" readingOrder="0"/>
    </dxf>
    <dxf>
      <fill>
        <patternFill patternType="none">
          <fgColor rgb="FF000000"/>
          <bgColor auto="1"/>
        </patternFill>
      </fill>
    </dxf>
    <dxf>
      <font>
        <b val="0"/>
        <i val="0"/>
        <strike val="0"/>
        <condense val="0"/>
        <extend val="0"/>
        <outline val="0"/>
        <shadow val="0"/>
        <u val="none"/>
        <vertAlign val="baseline"/>
        <sz val="11"/>
        <color rgb="FF000000"/>
        <name val="Calibri"/>
        <family val="2"/>
        <scheme val="none"/>
      </font>
      <numFmt numFmtId="2" formatCode="0.00"/>
      <fill>
        <patternFill patternType="none">
          <fgColor indexed="64"/>
          <bgColor auto="1"/>
        </patternFill>
      </fill>
      <alignment horizontal="general" vertical="top" textRotation="0" wrapText="0" indent="0" justifyLastLine="0" shrinkToFit="0" readingOrder="0"/>
      <border diagonalUp="0" diagonalDown="0">
        <left style="thin">
          <color indexed="64"/>
        </left>
        <right/>
        <top/>
        <bottom/>
      </border>
    </dxf>
    <dxf>
      <fill>
        <patternFill patternType="none">
          <fgColor indexed="64"/>
          <bgColor auto="1"/>
        </patternFill>
      </fill>
      <border diagonalUp="0" diagonalDown="0">
        <left/>
        <right style="thin">
          <color indexed="64"/>
        </right>
        <top/>
        <bottom/>
        <vertical/>
        <horizontal/>
      </border>
    </dxf>
    <dxf>
      <border outline="0">
        <left style="thin">
          <color rgb="FF000000"/>
        </left>
        <right style="thin">
          <color rgb="FF000000"/>
        </right>
        <top style="thin">
          <color rgb="FF000000"/>
        </top>
        <bottom style="thin">
          <color rgb="FF000000"/>
        </bottom>
      </border>
    </dxf>
    <dxf>
      <fill>
        <patternFill patternType="none">
          <fgColor rgb="FF000000"/>
          <bgColor auto="1"/>
        </patternFill>
      </fill>
    </dxf>
    <dxf>
      <font>
        <b/>
        <i val="0"/>
        <strike val="0"/>
        <condense val="0"/>
        <extend val="0"/>
        <outline val="0"/>
        <shadow val="0"/>
        <u val="none"/>
        <vertAlign val="baseline"/>
        <sz val="12"/>
        <color theme="1"/>
        <name val="Aptos Narrow"/>
        <family val="2"/>
        <scheme val="minor"/>
      </font>
      <numFmt numFmtId="2" formatCode="0.00"/>
      <fill>
        <patternFill patternType="solid">
          <fgColor indexed="64"/>
          <bgColor theme="4" tint="0.39997558519241921"/>
        </patternFill>
      </fill>
      <alignment horizontal="left" vertical="bottom" textRotation="0" wrapText="1" indent="0" justifyLastLine="0" shrinkToFit="0" readingOrder="0"/>
    </dxf>
    <dxf>
      <font>
        <b/>
        <i val="0"/>
        <strike val="0"/>
        <condense val="0"/>
        <extend val="0"/>
        <outline val="0"/>
        <shadow val="0"/>
        <u val="none"/>
        <vertAlign val="baseline"/>
        <sz val="11"/>
        <color theme="0"/>
        <name val="Aptos Narrow"/>
        <family val="2"/>
        <scheme val="minor"/>
      </font>
      <fill>
        <patternFill patternType="solid">
          <fgColor theme="4"/>
          <bgColor theme="4"/>
        </patternFill>
      </fill>
      <alignment horizontal="general" vertical="bottom" textRotation="0" wrapText="1" indent="0" justifyLastLine="0" shrinkToFit="0" readingOrder="0"/>
    </dxf>
    <dxf>
      <font>
        <b val="0"/>
        <i val="0"/>
        <strike val="0"/>
        <condense val="0"/>
        <extend val="0"/>
        <outline val="0"/>
        <shadow val="0"/>
        <u val="none"/>
        <vertAlign val="baseline"/>
        <sz val="12"/>
        <color theme="1"/>
        <name val="Calibri"/>
        <family val="2"/>
        <scheme val="none"/>
      </font>
      <numFmt numFmtId="165" formatCode="0.0"/>
    </dxf>
    <dxf>
      <numFmt numFmtId="2" formatCode="0.00"/>
    </dxf>
    <dxf>
      <numFmt numFmtId="2" formatCode="0.00"/>
    </dxf>
    <dxf>
      <font>
        <b val="0"/>
        <i val="0"/>
        <strike val="0"/>
        <condense val="0"/>
        <extend val="0"/>
        <outline val="0"/>
        <shadow val="0"/>
        <u val="none"/>
        <vertAlign val="baseline"/>
        <sz val="12"/>
        <color theme="1"/>
        <name val="Calibri"/>
        <family val="2"/>
        <scheme val="none"/>
      </font>
      <numFmt numFmtId="164" formatCode="0.0%"/>
    </dxf>
    <dxf>
      <numFmt numFmtId="2" formatCode="0.00"/>
    </dxf>
    <dxf>
      <numFmt numFmtId="2" formatCode="0.00"/>
    </dxf>
    <dxf>
      <numFmt numFmtId="2" formatCode="0.00"/>
    </dxf>
    <dxf>
      <numFmt numFmtId="2" formatCode="0.00"/>
    </dxf>
    <dxf>
      <numFmt numFmtId="164" formatCode="0.0%"/>
    </dxf>
    <dxf>
      <numFmt numFmtId="2" formatCode="0.00"/>
    </dxf>
    <dxf>
      <numFmt numFmtId="2" formatCode="0.00"/>
    </dxf>
    <dxf>
      <numFmt numFmtId="2" formatCode="0.00"/>
    </dxf>
    <dxf>
      <font>
        <b val="0"/>
        <i val="0"/>
        <strike val="0"/>
        <condense val="0"/>
        <extend val="0"/>
        <outline val="0"/>
        <shadow val="0"/>
        <u val="none"/>
        <vertAlign val="baseline"/>
        <sz val="12"/>
        <color theme="1"/>
        <name val="Calibri"/>
        <family val="2"/>
        <scheme val="none"/>
      </font>
      <numFmt numFmtId="164" formatCode="0.0%"/>
    </dxf>
    <dxf>
      <numFmt numFmtId="2" formatCode="0.00"/>
    </dxf>
    <dxf>
      <numFmt numFmtId="2" formatCode="0.00"/>
    </dxf>
    <dxf>
      <numFmt numFmtId="2" formatCode="0.00"/>
    </dxf>
    <dxf>
      <numFmt numFmtId="2" formatCode="0.00"/>
    </dxf>
    <dxf>
      <border outline="0">
        <bottom style="medium">
          <color theme="1"/>
        </bottom>
      </border>
    </dxf>
    <dxf>
      <border outline="0">
        <top style="medium">
          <color theme="1"/>
        </top>
        <bottom style="medium">
          <color theme="1"/>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sharedStrings" Target="sharedString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2.xml"/><Relationship Id="rId5" Type="http://schemas.openxmlformats.org/officeDocument/2006/relationships/theme" Target="theme/theme1.xml"/><Relationship Id="rId10" Type="http://schemas.openxmlformats.org/officeDocument/2006/relationships/customXml" Target="../customXml/item1.xml"/><Relationship Id="rId4" Type="http://schemas.openxmlformats.org/officeDocument/2006/relationships/externalLink" Target="externalLinks/externalLink1.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xdr:col>
      <xdr:colOff>1485529</xdr:colOff>
      <xdr:row>0</xdr:row>
      <xdr:rowOff>78440</xdr:rowOff>
    </xdr:from>
    <xdr:to>
      <xdr:col>6</xdr:col>
      <xdr:colOff>1090706</xdr:colOff>
      <xdr:row>0</xdr:row>
      <xdr:rowOff>1306231</xdr:rowOff>
    </xdr:to>
    <xdr:sp macro="" textlink="">
      <xdr:nvSpPr>
        <xdr:cNvPr id="2" name="TextBox 1">
          <a:extLst>
            <a:ext uri="{FF2B5EF4-FFF2-40B4-BE49-F238E27FC236}">
              <a16:creationId xmlns:a16="http://schemas.microsoft.com/office/drawing/2014/main" id="{96A614EA-5F2B-E446-899B-12118FEFC501}"/>
            </a:ext>
          </a:extLst>
        </xdr:cNvPr>
        <xdr:cNvSpPr txBox="1"/>
      </xdr:nvSpPr>
      <xdr:spPr>
        <a:xfrm>
          <a:off x="6756029" y="78440"/>
          <a:ext cx="6488577" cy="1227791"/>
        </a:xfrm>
        <a:prstGeom prst="rect">
          <a:avLst/>
        </a:prstGeom>
        <a:solidFill>
          <a:schemeClr val="accent4">
            <a:lumMod val="20000"/>
            <a:lumOff val="80000"/>
          </a:schemeClr>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baseline="0"/>
            <a:t>Staff </a:t>
          </a:r>
          <a:r>
            <a:rPr lang="en-US" sz="1100" b="1"/>
            <a:t>HPRD</a:t>
          </a:r>
          <a:r>
            <a:rPr lang="en-US" sz="1100" b="0" baseline="0"/>
            <a:t> (Hours Per Resident Day) is calculated by dividing a nursing home's daily staff hours by its MDS census. </a:t>
          </a:r>
          <a:r>
            <a:rPr lang="en-US" sz="1100" b="0" i="1" baseline="0"/>
            <a:t>Example: A nursing home averaging 300 total nurse staff hours and 100 residents per day would have a 3.0 Total Nurse Staff HPRD (300/100 = 3.0).</a:t>
          </a:r>
        </a:p>
        <a:p>
          <a:pPr marL="0" marR="0" lvl="0" indent="0" defTabSz="914400" eaLnBrk="1" fontAlgn="auto" latinLnBrk="0" hangingPunct="1">
            <a:lnSpc>
              <a:spcPct val="100000"/>
            </a:lnSpc>
            <a:spcBef>
              <a:spcPts val="0"/>
            </a:spcBef>
            <a:spcAft>
              <a:spcPts val="0"/>
            </a:spcAft>
            <a:buClrTx/>
            <a:buSzTx/>
            <a:buFontTx/>
            <a:buNone/>
            <a:tabLst/>
            <a:defRPr/>
          </a:pPr>
          <a:endParaRPr lang="en-US" sz="1100" b="1" baseline="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baseline="0">
              <a:solidFill>
                <a:schemeClr val="dk1"/>
              </a:solidFill>
              <a:effectLst/>
              <a:latin typeface="+mn-lt"/>
              <a:ea typeface="+mn-ea"/>
              <a:cs typeface="+mn-cs"/>
            </a:rPr>
            <a:t>Total Hours:</a:t>
          </a:r>
          <a:r>
            <a:rPr lang="en-US" sz="1100" b="0" baseline="0">
              <a:solidFill>
                <a:schemeClr val="dk1"/>
              </a:solidFill>
              <a:effectLst/>
              <a:latin typeface="+mn-lt"/>
              <a:ea typeface="+mn-ea"/>
              <a:cs typeface="+mn-cs"/>
            </a:rPr>
            <a:t> the nursing home's average daily staff hours in a given category for the quarter. </a:t>
          </a:r>
          <a:r>
            <a:rPr lang="en-US" sz="1100" b="0" i="1" baseline="0">
              <a:solidFill>
                <a:schemeClr val="dk1"/>
              </a:solidFill>
              <a:effectLst/>
              <a:latin typeface="+mn-lt"/>
              <a:ea typeface="+mn-ea"/>
              <a:cs typeface="+mn-cs"/>
            </a:rPr>
            <a:t>Example: A nursing home with 22.5 RN care staff hours provides 22.5 RN care staff hours per day. </a:t>
          </a:r>
          <a:endParaRPr lang="en-US">
            <a:effectLst/>
          </a:endParaRPr>
        </a:p>
        <a:p>
          <a:endParaRPr lang="en-US" sz="1100" b="0" i="1" baseline="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15688</xdr:colOff>
      <xdr:row>18</xdr:row>
      <xdr:rowOff>170662</xdr:rowOff>
    </xdr:from>
    <xdr:to>
      <xdr:col>4</xdr:col>
      <xdr:colOff>1168214</xdr:colOff>
      <xdr:row>59</xdr:row>
      <xdr:rowOff>39695</xdr:rowOff>
    </xdr:to>
    <xdr:sp macro="" textlink="">
      <xdr:nvSpPr>
        <xdr:cNvPr id="2" name="TextBox 1">
          <a:extLst>
            <a:ext uri="{FF2B5EF4-FFF2-40B4-BE49-F238E27FC236}">
              <a16:creationId xmlns:a16="http://schemas.microsoft.com/office/drawing/2014/main" id="{982DDA52-1C38-F24F-A9AE-73E412E66C1A}"/>
            </a:ext>
          </a:extLst>
        </xdr:cNvPr>
        <xdr:cNvSpPr txBox="1"/>
      </xdr:nvSpPr>
      <xdr:spPr>
        <a:xfrm>
          <a:off x="688788" y="3599662"/>
          <a:ext cx="2676526" cy="7679533"/>
        </a:xfrm>
        <a:prstGeom prst="rect">
          <a:avLst/>
        </a:prstGeom>
        <a:solidFill>
          <a:schemeClr val="accent4">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en-US" sz="1800" b="1" i="0" u="none" strike="noStrike">
              <a:solidFill>
                <a:schemeClr val="dk1"/>
              </a:solidFill>
              <a:effectLst/>
              <a:latin typeface="+mn-lt"/>
              <a:ea typeface="+mn-ea"/>
              <a:cs typeface="+mn-cs"/>
            </a:rPr>
            <a:t>Data</a:t>
          </a:r>
          <a:r>
            <a:rPr lang="en-US" sz="1800" b="1" i="0" u="none" strike="noStrike" baseline="0">
              <a:solidFill>
                <a:schemeClr val="dk1"/>
              </a:solidFill>
              <a:effectLst/>
              <a:latin typeface="+mn-lt"/>
              <a:ea typeface="+mn-ea"/>
              <a:cs typeface="+mn-cs"/>
            </a:rPr>
            <a:t> Notes</a:t>
          </a:r>
          <a:br>
            <a:rPr lang="en-US" sz="1100" b="1" i="0" u="none" strike="noStrike">
              <a:solidFill>
                <a:schemeClr val="dk1"/>
              </a:solidFill>
              <a:effectLst/>
              <a:latin typeface="+mn-lt"/>
              <a:ea typeface="+mn-ea"/>
              <a:cs typeface="+mn-cs"/>
            </a:rPr>
          </a:br>
          <a:br>
            <a:rPr lang="en-US" sz="1100" b="1" i="0" u="none" strike="noStrike">
              <a:solidFill>
                <a:schemeClr val="dk1"/>
              </a:solidFill>
              <a:effectLst/>
              <a:latin typeface="+mn-lt"/>
              <a:ea typeface="+mn-ea"/>
              <a:cs typeface="+mn-cs"/>
            </a:rPr>
          </a:br>
          <a:r>
            <a:rPr lang="en-US" sz="1100" b="1" i="0">
              <a:solidFill>
                <a:schemeClr val="dk1"/>
              </a:solidFill>
              <a:effectLst/>
              <a:latin typeface="+mn-lt"/>
              <a:ea typeface="+mn-ea"/>
              <a:cs typeface="+mn-cs"/>
            </a:rPr>
            <a:t>What is staff HPRD? </a:t>
          </a:r>
          <a:r>
            <a:rPr lang="en-US" sz="1100" b="0" i="0">
              <a:solidFill>
                <a:schemeClr val="dk1"/>
              </a:solidFill>
              <a:effectLst/>
              <a:latin typeface="+mn-lt"/>
              <a:ea typeface="+mn-ea"/>
              <a:cs typeface="+mn-cs"/>
            </a:rPr>
            <a:t>HPRD (Hours Per Resident Day) is a staffing metric calculated by dividing a nursing home's daily staff hours by its MDS census. For example, a nursing home averaging 300 total nurse staff hours and 100 residents per day would have a 3.0 Total Nurse Staff HPRD (300/100 = 3.0). </a:t>
          </a:r>
          <a:r>
            <a:rPr lang="en-US" sz="1100" b="1" i="0">
              <a:solidFill>
                <a:schemeClr val="dk1"/>
              </a:solidFill>
              <a:effectLst/>
              <a:latin typeface="+mn-lt"/>
              <a:ea typeface="+mn-ea"/>
              <a:cs typeface="+mn-cs"/>
            </a:rPr>
            <a:t>MPRD</a:t>
          </a:r>
          <a:r>
            <a:rPr lang="en-US" sz="1100" b="0" i="0">
              <a:solidFill>
                <a:schemeClr val="dk1"/>
              </a:solidFill>
              <a:effectLst/>
              <a:latin typeface="+mn-lt"/>
              <a:ea typeface="+mn-ea"/>
              <a:cs typeface="+mn-cs"/>
            </a:rPr>
            <a:t> is Minutes Per</a:t>
          </a:r>
          <a:r>
            <a:rPr lang="en-US" sz="1100" b="0" i="0" baseline="0">
              <a:solidFill>
                <a:schemeClr val="dk1"/>
              </a:solidFill>
              <a:effectLst/>
              <a:latin typeface="+mn-lt"/>
              <a:ea typeface="+mn-ea"/>
              <a:cs typeface="+mn-cs"/>
            </a:rPr>
            <a:t> Resident Day.</a:t>
          </a:r>
          <a:br>
            <a:rPr lang="en-US" sz="1100" b="0" i="0" u="none" strike="noStrike">
              <a:solidFill>
                <a:schemeClr val="dk1"/>
              </a:solidFill>
              <a:effectLst/>
              <a:latin typeface="+mn-lt"/>
              <a:ea typeface="+mn-ea"/>
              <a:cs typeface="+mn-cs"/>
            </a:rPr>
          </a:br>
          <a:br>
            <a:rPr lang="en-US" sz="1100" b="0" i="0" u="none" strike="noStrike">
              <a:solidFill>
                <a:schemeClr val="dk1"/>
              </a:solidFill>
              <a:effectLst/>
              <a:latin typeface="+mn-lt"/>
              <a:ea typeface="+mn-ea"/>
              <a:cs typeface="+mn-cs"/>
            </a:rPr>
          </a:br>
          <a:r>
            <a:rPr kumimoji="0" lang="en-US" sz="1100" b="1" i="0" u="none" strike="noStrike" kern="0" cap="none" spc="0" normalizeH="0" baseline="0" noProof="0">
              <a:ln>
                <a:noFill/>
              </a:ln>
              <a:solidFill>
                <a:prstClr val="black"/>
              </a:solidFill>
              <a:effectLst/>
              <a:uLnTx/>
              <a:uFillTx/>
              <a:latin typeface="+mn-lt"/>
              <a:ea typeface="+mn-ea"/>
              <a:cs typeface="+mn-cs"/>
            </a:rPr>
            <a:t>What staff are included in "Total Nurse Staff"?</a:t>
          </a:r>
          <a:r>
            <a:rPr kumimoji="0" lang="en-US" sz="1100" b="0" i="0" u="none" strike="noStrike" kern="0" cap="none" spc="0" normalizeH="0" baseline="0" noProof="0">
              <a:ln>
                <a:noFill/>
              </a:ln>
              <a:solidFill>
                <a:prstClr val="black"/>
              </a:solidFill>
              <a:effectLst/>
              <a:uLnTx/>
              <a:uFillTx/>
              <a:latin typeface="+mn-lt"/>
              <a:ea typeface="+mn-ea"/>
              <a:cs typeface="+mn-cs"/>
            </a:rPr>
            <a:t> Total Nurse Staff combines hours from RNs (incl. Admin and DON), LPNs (incl. Admin), CNAs, Med Aide/Tech, and NA in Training (NA TR). Total RN Staff includes RN Admin &amp; RN DON.</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1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100" b="1" i="0" u="none" strike="noStrike" kern="0" cap="none" spc="0" normalizeH="0" baseline="0" noProof="0">
              <a:ln>
                <a:noFill/>
              </a:ln>
              <a:solidFill>
                <a:prstClr val="black"/>
              </a:solidFill>
              <a:effectLst/>
              <a:uLnTx/>
              <a:uFillTx/>
              <a:latin typeface="+mn-lt"/>
              <a:ea typeface="+mn-ea"/>
              <a:cs typeface="+mn-cs"/>
            </a:rPr>
            <a:t>What staff are included in "Total Nurse Care Staff (excl. Admin/DON)"?</a:t>
          </a:r>
          <a:r>
            <a:rPr kumimoji="0" lang="en-US" sz="1100" b="0" i="0" u="none" strike="noStrike" kern="0" cap="none" spc="0" normalizeH="0" baseline="0" noProof="0">
              <a:ln>
                <a:noFill/>
              </a:ln>
              <a:solidFill>
                <a:prstClr val="black"/>
              </a:solidFill>
              <a:effectLst/>
              <a:uLnTx/>
              <a:uFillTx/>
              <a:latin typeface="+mn-lt"/>
              <a:ea typeface="+mn-ea"/>
              <a:cs typeface="+mn-cs"/>
            </a:rPr>
            <a:t> Total Nurse Care Staff combines hours from RNs, LPNs, and nurse aides (CNAs, Med Aide/Tech, and NA in Training) that are directly involved in resident care while excluding Admin &amp; DON. Total RN Care Staff excludes RN Admin &amp; RN DON.</a:t>
          </a:r>
        </a:p>
        <a:p>
          <a:pPr marL="0" marR="0" lvl="0" indent="0" defTabSz="914400" eaLnBrk="1" fontAlgn="auto" latinLnBrk="0" hangingPunct="1">
            <a:lnSpc>
              <a:spcPct val="100000"/>
            </a:lnSpc>
            <a:spcBef>
              <a:spcPts val="0"/>
            </a:spcBef>
            <a:spcAft>
              <a:spcPts val="0"/>
            </a:spcAft>
            <a:buClrTx/>
            <a:buSzTx/>
            <a:buFontTx/>
            <a:buNone/>
            <a:tabLst/>
            <a:defRPr/>
          </a:pPr>
          <a:br>
            <a:rPr kumimoji="0" lang="en-US" sz="1100" b="0" i="0" u="none" strike="noStrike" kern="0" cap="none" spc="0" normalizeH="0" baseline="0" noProof="0">
              <a:ln>
                <a:noFill/>
              </a:ln>
              <a:solidFill>
                <a:prstClr val="black"/>
              </a:solidFill>
              <a:effectLst/>
              <a:uLnTx/>
              <a:uFillTx/>
              <a:latin typeface="+mn-lt"/>
              <a:ea typeface="+mn-ea"/>
              <a:cs typeface="+mn-cs"/>
            </a:rPr>
          </a:br>
          <a:r>
            <a:rPr kumimoji="0" lang="en-US" sz="1100" b="1" i="0" u="none" strike="noStrike" kern="0" cap="none" spc="0" normalizeH="0" baseline="0" noProof="0">
              <a:ln>
                <a:noFill/>
              </a:ln>
              <a:solidFill>
                <a:srgbClr val="5B9BD5">
                  <a:lumMod val="75000"/>
                </a:srgbClr>
              </a:solidFill>
              <a:effectLst/>
              <a:uLnTx/>
              <a:uFillTx/>
              <a:latin typeface="+mn-lt"/>
              <a:ea typeface="+mn-ea"/>
              <a:cs typeface="+mn-cs"/>
            </a:rPr>
            <a:t>Note:</a:t>
          </a:r>
          <a:r>
            <a:rPr kumimoji="0" lang="en-US" sz="1100" b="1" i="1" u="none" strike="noStrike" kern="0" cap="none" spc="0" normalizeH="0" baseline="0" noProof="0">
              <a:ln>
                <a:noFill/>
              </a:ln>
              <a:solidFill>
                <a:srgbClr val="5B9BD5">
                  <a:lumMod val="75000"/>
                </a:srgbClr>
              </a:solidFill>
              <a:effectLst/>
              <a:uLnTx/>
              <a:uFillTx/>
              <a:latin typeface="+mn-lt"/>
              <a:ea typeface="+mn-ea"/>
              <a:cs typeface="+mn-cs"/>
            </a:rPr>
            <a:t> </a:t>
          </a:r>
          <a:r>
            <a:rPr kumimoji="0" lang="en-US" sz="1100" b="1" i="0" u="none" strike="noStrike" kern="0" cap="none" spc="0" normalizeH="0" baseline="0" noProof="0">
              <a:ln>
                <a:noFill/>
              </a:ln>
              <a:solidFill>
                <a:srgbClr val="5B9BD5">
                  <a:lumMod val="75000"/>
                </a:srgbClr>
              </a:solidFill>
              <a:effectLst/>
              <a:uLnTx/>
              <a:uFillTx/>
              <a:latin typeface="+mn-lt"/>
              <a:ea typeface="+mn-ea"/>
              <a:cs typeface="+mn-cs"/>
            </a:rPr>
            <a:t>Starting in Q1 2021, LTCCC’s reporting of federal staffing data was modified in two important ways. </a:t>
          </a:r>
          <a:br>
            <a:rPr kumimoji="0" lang="en-US" sz="1100" b="1" i="0" u="none" strike="noStrike" kern="0" cap="none" spc="0" normalizeH="0" baseline="0" noProof="0">
              <a:ln>
                <a:noFill/>
              </a:ln>
              <a:solidFill>
                <a:srgbClr val="5B9BD5">
                  <a:lumMod val="75000"/>
                </a:srgbClr>
              </a:solidFill>
              <a:effectLst/>
              <a:uLnTx/>
              <a:uFillTx/>
              <a:latin typeface="+mn-lt"/>
              <a:ea typeface="+mn-ea"/>
              <a:cs typeface="+mn-cs"/>
            </a:rPr>
          </a:br>
          <a:r>
            <a:rPr kumimoji="0" lang="en-US" sz="1100" b="1" i="0" u="none" strike="noStrike" kern="0" cap="none" spc="0" normalizeH="0" baseline="0" noProof="0">
              <a:ln>
                <a:noFill/>
              </a:ln>
              <a:solidFill>
                <a:srgbClr val="5B9BD5">
                  <a:lumMod val="75000"/>
                </a:srgbClr>
              </a:solidFill>
              <a:effectLst/>
              <a:uLnTx/>
              <a:uFillTx/>
              <a:latin typeface="+mn-lt"/>
              <a:ea typeface="+mn-ea"/>
              <a:cs typeface="+mn-cs"/>
            </a:rPr>
            <a:t>1) Highlighting “Total Nurse Staff HPRD,” a more expansive metric that includes all PBJ nurse staffing categories; and 2) Expanding “Total Direct Care Staff HPRD” to include Med Aide/Tech and NA TR. Med Aide/Tech and NA TR were not included in previous LTCCC staffing reports.</a:t>
          </a:r>
          <a:br>
            <a:rPr lang="en-US" sz="1100" b="0" i="0" u="none" strike="noStrike">
              <a:solidFill>
                <a:schemeClr val="dk1"/>
              </a:solidFill>
              <a:effectLst/>
              <a:latin typeface="+mn-lt"/>
              <a:ea typeface="+mn-ea"/>
              <a:cs typeface="+mn-cs"/>
            </a:rPr>
          </a:br>
          <a:endParaRPr lang="en-US" sz="1100" b="0" i="0" u="none" strike="noStrike">
            <a:solidFill>
              <a:schemeClr val="dk1"/>
            </a:solidFill>
            <a:effectLst/>
            <a:latin typeface="+mn-lt"/>
            <a:ea typeface="+mn-ea"/>
            <a:cs typeface="+mn-cs"/>
          </a:endParaRPr>
        </a:p>
        <a:p>
          <a:r>
            <a:rPr lang="en-US" sz="1100" b="1" i="0" u="none" strike="noStrike">
              <a:solidFill>
                <a:schemeClr val="dk1"/>
              </a:solidFill>
              <a:effectLst/>
              <a:latin typeface="+mn-lt"/>
              <a:ea typeface="+mn-ea"/>
              <a:cs typeface="+mn-cs"/>
            </a:rPr>
            <a:t>Calculating state and national averages:</a:t>
          </a:r>
          <a:r>
            <a:rPr lang="en-US" sz="1100" b="0" i="0" u="none" strike="noStrike">
              <a:solidFill>
                <a:schemeClr val="dk1"/>
              </a:solidFill>
              <a:effectLst/>
              <a:latin typeface="+mn-lt"/>
              <a:ea typeface="+mn-ea"/>
              <a:cs typeface="+mn-cs"/>
            </a:rPr>
            <a:t> State and national staffing (Total and RN) HPRD were determined by dividing a given sample's aggregate of facility staffing hours by its aggregate of facility MDS census, thus accounting for variations in facility size. LTCCC staffing reports prior to Q3 2019 used different methodology by averaging all facility HPRDs in a sample (without adjusting for facility size) to determine state and national staffing averages. See "National/State average calculation" box on left for more info.</a:t>
          </a:r>
          <a:br>
            <a:rPr lang="en-US" sz="1100" b="1" i="0" u="none" strike="noStrike">
              <a:solidFill>
                <a:schemeClr val="dk1"/>
              </a:solidFill>
              <a:effectLst/>
              <a:latin typeface="+mn-lt"/>
              <a:ea typeface="+mn-ea"/>
              <a:cs typeface="+mn-cs"/>
            </a:rPr>
          </a:br>
          <a:br>
            <a:rPr lang="en-US" sz="1100" b="1" i="0" u="none" strike="noStrike">
              <a:solidFill>
                <a:schemeClr val="dk1"/>
              </a:solidFill>
              <a:effectLst/>
              <a:latin typeface="+mn-lt"/>
              <a:ea typeface="+mn-ea"/>
              <a:cs typeface="+mn-cs"/>
            </a:rPr>
          </a:br>
          <a:r>
            <a:rPr lang="en-US" sz="1100" b="1" i="0" u="none" strike="noStrike">
              <a:solidFill>
                <a:schemeClr val="dk1"/>
              </a:solidFill>
              <a:effectLst/>
              <a:latin typeface="+mn-lt"/>
              <a:ea typeface="+mn-ea"/>
              <a:cs typeface="+mn-cs"/>
            </a:rPr>
            <a:t>More on Payroll-Based Journal (PBJ) staffing data. (1) </a:t>
          </a:r>
          <a:r>
            <a:rPr lang="en-US" sz="1100" b="0" i="0" u="none" strike="noStrike">
              <a:solidFill>
                <a:schemeClr val="dk1"/>
              </a:solidFill>
              <a:effectLst/>
              <a:latin typeface="+mn-lt"/>
              <a:ea typeface="+mn-ea"/>
              <a:cs typeface="+mn-cs"/>
            </a:rPr>
            <a:t>Facility staff averages are determined based on PBJ reporting </a:t>
          </a:r>
          <a:r>
            <a:rPr lang="en-US" sz="1100" b="1" i="0" u="none" strike="noStrike">
              <a:solidFill>
                <a:schemeClr val="dk1"/>
              </a:solidFill>
              <a:effectLst/>
              <a:latin typeface="+mn-lt"/>
              <a:ea typeface="+mn-ea"/>
              <a:cs typeface="+mn-cs"/>
            </a:rPr>
            <a:t>(2)</a:t>
          </a:r>
          <a:r>
            <a:rPr lang="en-US" sz="1100" b="0" i="0" u="none" strike="noStrike">
              <a:solidFill>
                <a:schemeClr val="dk1"/>
              </a:solidFill>
              <a:effectLst/>
              <a:latin typeface="+mn-lt"/>
              <a:ea typeface="+mn-ea"/>
              <a:cs typeface="+mn-cs"/>
            </a:rPr>
            <a:t> Not all facilities are in compliance with the staff reporting requirement. This may affect averages at the facility, state, and national level. </a:t>
          </a:r>
          <a:r>
            <a:rPr lang="en-US" sz="1100" b="1" i="0" u="none" strike="noStrike">
              <a:solidFill>
                <a:schemeClr val="dk1"/>
              </a:solidFill>
              <a:effectLst/>
              <a:latin typeface="+mn-lt"/>
              <a:ea typeface="+mn-ea"/>
              <a:cs typeface="+mn-cs"/>
            </a:rPr>
            <a:t>(3) </a:t>
          </a:r>
          <a:r>
            <a:rPr lang="en-US" sz="1100" b="0" i="0" u="none" strike="noStrike">
              <a:solidFill>
                <a:schemeClr val="dk1"/>
              </a:solidFill>
              <a:effectLst/>
              <a:latin typeface="+mn-lt"/>
              <a:ea typeface="+mn-ea"/>
              <a:cs typeface="+mn-cs"/>
            </a:rPr>
            <a:t>The list includes Transitional Care Units and pediatric nursing homes, which generally have significantly higher staffing than a typical nursing home. This, too, will impact state and national averages.</a:t>
          </a:r>
          <a:br>
            <a:rPr lang="en-US" sz="1100" b="0" i="0" u="none" strike="noStrike">
              <a:solidFill>
                <a:schemeClr val="dk1"/>
              </a:solidFill>
              <a:effectLst/>
              <a:latin typeface="+mn-lt"/>
              <a:ea typeface="+mn-ea"/>
              <a:cs typeface="+mn-cs"/>
            </a:rPr>
          </a:br>
          <a:br>
            <a:rPr lang="en-US" sz="1100" b="0" i="0" u="none" strike="noStrike">
              <a:solidFill>
                <a:schemeClr val="dk1"/>
              </a:solidFill>
              <a:effectLst/>
              <a:latin typeface="+mn-lt"/>
              <a:ea typeface="+mn-ea"/>
              <a:cs typeface="+mn-cs"/>
            </a:rPr>
          </a:br>
          <a:r>
            <a:rPr lang="en-US" sz="1100" b="1" i="0" u="none" strike="noStrike">
              <a:solidFill>
                <a:schemeClr val="dk1"/>
              </a:solidFill>
              <a:effectLst/>
              <a:latin typeface="+mn-lt"/>
              <a:ea typeface="+mn-ea"/>
              <a:cs typeface="+mn-cs"/>
            </a:rPr>
            <a:t>CMS Regions: </a:t>
          </a:r>
          <a:r>
            <a:rPr lang="en-US" sz="1100" b="0" i="0" u="none" strike="noStrike">
              <a:solidFill>
                <a:schemeClr val="dk1"/>
              </a:solidFill>
              <a:effectLst/>
              <a:latin typeface="+mn-lt"/>
              <a:ea typeface="+mn-ea"/>
              <a:cs typeface="+mn-cs"/>
            </a:rPr>
            <a:t>CMS's 10 regional locations serve different states and territories in the United States. For more information on CMS's regional offices, visit https://www.cms.gov/Medicare/Coding/ICD10/CMS-Regional-Offices.</a:t>
          </a:r>
          <a:br>
            <a:rPr lang="en-US" sz="1100" b="0" i="0" u="none" strike="noStrike">
              <a:solidFill>
                <a:schemeClr val="dk1"/>
              </a:solidFill>
              <a:effectLst/>
              <a:latin typeface="+mn-lt"/>
              <a:ea typeface="+mn-ea"/>
              <a:cs typeface="+mn-cs"/>
            </a:rPr>
          </a:br>
          <a:br>
            <a:rPr lang="en-US" sz="1100" b="0" i="0" u="none" strike="noStrike">
              <a:solidFill>
                <a:schemeClr val="dk1"/>
              </a:solidFill>
              <a:effectLst/>
              <a:latin typeface="+mn-lt"/>
              <a:ea typeface="+mn-ea"/>
              <a:cs typeface="+mn-cs"/>
            </a:rPr>
          </a:br>
          <a:r>
            <a:rPr lang="en-US" sz="1100" b="1" i="0" u="none" strike="noStrike">
              <a:solidFill>
                <a:schemeClr val="dk1"/>
              </a:solidFill>
              <a:effectLst/>
              <a:latin typeface="+mn-lt"/>
              <a:ea typeface="+mn-ea"/>
              <a:cs typeface="+mn-cs"/>
            </a:rPr>
            <a:t>For LTCCC's full Q1 2025 staffing report, visit https://nursinghome411.org/staffing-Q1-2025/.</a:t>
          </a:r>
          <a:br>
            <a:rPr lang="en-US" sz="1100" b="1" i="0" u="none" strike="noStrike">
              <a:solidFill>
                <a:schemeClr val="dk1"/>
              </a:solidFill>
              <a:effectLst/>
              <a:latin typeface="+mn-lt"/>
              <a:ea typeface="+mn-ea"/>
              <a:cs typeface="+mn-cs"/>
            </a:rPr>
          </a:br>
          <a:br>
            <a:rPr lang="en-US" sz="1100" b="0" i="0" u="none" strike="noStrike">
              <a:solidFill>
                <a:schemeClr val="dk1"/>
              </a:solidFill>
              <a:effectLst/>
              <a:latin typeface="+mn-lt"/>
              <a:ea typeface="+mn-ea"/>
              <a:cs typeface="+mn-cs"/>
            </a:rPr>
          </a:br>
          <a:r>
            <a:rPr lang="en-US" sz="1600" b="1" i="0" u="none" strike="noStrike">
              <a:solidFill>
                <a:schemeClr val="dk1"/>
              </a:solidFill>
              <a:effectLst/>
              <a:latin typeface="+mn-lt"/>
              <a:ea typeface="+mn-ea"/>
              <a:cs typeface="+mn-cs"/>
            </a:rPr>
            <a:t>Sources</a:t>
          </a:r>
          <a:br>
            <a:rPr lang="en-US" sz="1100" b="1" i="0" u="none" strike="noStrike">
              <a:solidFill>
                <a:schemeClr val="dk1"/>
              </a:solidFill>
              <a:effectLst/>
              <a:latin typeface="+mn-lt"/>
              <a:ea typeface="+mn-ea"/>
              <a:cs typeface="+mn-cs"/>
            </a:rPr>
          </a:br>
          <a:r>
            <a:rPr lang="en-US" sz="1100" b="1" i="0" u="none" strike="noStrike">
              <a:solidFill>
                <a:schemeClr val="dk1"/>
              </a:solidFill>
              <a:effectLst/>
              <a:latin typeface="+mn-lt"/>
              <a:ea typeface="+mn-ea"/>
              <a:cs typeface="+mn-cs"/>
            </a:rPr>
            <a:t>PBJ Daily Nurse Staffing Data:</a:t>
          </a:r>
          <a:r>
            <a:rPr lang="en-US" sz="1100" b="0" i="0" u="none" strike="noStrike">
              <a:solidFill>
                <a:schemeClr val="dk1"/>
              </a:solidFill>
              <a:effectLst/>
              <a:latin typeface="+mn-lt"/>
              <a:ea typeface="+mn-ea"/>
              <a:cs typeface="+mn-cs"/>
            </a:rPr>
            <a:t> https://data.cms.gov/quality-of-care/payroll-based-journal-daily-nurse-staffing</a:t>
          </a:r>
          <a:br>
            <a:rPr lang="en-US" sz="1100" b="0" i="0" u="none" strike="noStrike">
              <a:solidFill>
                <a:schemeClr val="dk1"/>
              </a:solidFill>
              <a:effectLst/>
              <a:latin typeface="+mn-lt"/>
              <a:ea typeface="+mn-ea"/>
              <a:cs typeface="+mn-cs"/>
            </a:rPr>
          </a:br>
          <a:r>
            <a:rPr lang="en-US" sz="1100" b="1" i="0" u="none" strike="noStrike">
              <a:solidFill>
                <a:schemeClr val="dk1"/>
              </a:solidFill>
              <a:effectLst/>
              <a:latin typeface="+mn-lt"/>
              <a:ea typeface="+mn-ea"/>
              <a:cs typeface="+mn-cs"/>
            </a:rPr>
            <a:t>PBJ Daily Non-Nurse Staffing Data:</a:t>
          </a:r>
          <a:r>
            <a:rPr lang="en-US" sz="1100" b="0" i="0" u="none" strike="noStrike">
              <a:solidFill>
                <a:schemeClr val="dk1"/>
              </a:solidFill>
              <a:effectLst/>
              <a:latin typeface="+mn-lt"/>
              <a:ea typeface="+mn-ea"/>
              <a:cs typeface="+mn-cs"/>
            </a:rPr>
            <a:t> https://data.cms.gov/quality-of-care/payroll-based-journal-daily-non-nurse-staffing</a:t>
          </a:r>
          <a:br>
            <a:rPr lang="en-US" sz="1100" b="0" i="0" u="none" strike="noStrike">
              <a:solidFill>
                <a:schemeClr val="dk1"/>
              </a:solidFill>
              <a:effectLst/>
              <a:latin typeface="+mn-lt"/>
              <a:ea typeface="+mn-ea"/>
              <a:cs typeface="+mn-cs"/>
            </a:rPr>
          </a:br>
          <a:r>
            <a:rPr lang="en-US" sz="1100" b="1" i="0" u="none" strike="noStrike">
              <a:solidFill>
                <a:schemeClr val="dk1"/>
              </a:solidFill>
              <a:effectLst/>
              <a:latin typeface="+mn-lt"/>
              <a:ea typeface="+mn-ea"/>
              <a:cs typeface="+mn-cs"/>
            </a:rPr>
            <a:t>Information on payroll-based staff reporting requirements</a:t>
          </a:r>
          <a:r>
            <a:rPr lang="en-US" sz="1100" b="0" i="0" u="none" strike="noStrike">
              <a:solidFill>
                <a:schemeClr val="dk1"/>
              </a:solidFill>
              <a:effectLst/>
              <a:latin typeface="+mn-lt"/>
              <a:ea typeface="+mn-ea"/>
              <a:cs typeface="+mn-cs"/>
            </a:rPr>
            <a:t>: https://www.cms.gov/Medicare/Quality-Initiatives-Patient-Assessment-Instruments/NursingHomeQualityInits/Staffing-Data-Submission-PBJ</a:t>
          </a:r>
          <a:br>
            <a:rPr lang="en-US" sz="1100" b="0" i="0" u="none" strike="noStrike">
              <a:solidFill>
                <a:schemeClr val="dk1"/>
              </a:solidFill>
              <a:effectLst/>
              <a:latin typeface="+mn-lt"/>
              <a:ea typeface="+mn-ea"/>
              <a:cs typeface="+mn-cs"/>
            </a:rPr>
          </a:br>
          <a:r>
            <a:rPr lang="en-US" sz="1100" b="1" i="0" u="none" strike="noStrike">
              <a:solidFill>
                <a:schemeClr val="dk1"/>
              </a:solidFill>
              <a:effectLst/>
              <a:latin typeface="+mn-lt"/>
              <a:ea typeface="+mn-ea"/>
              <a:cs typeface="+mn-cs"/>
            </a:rPr>
            <a:t>CMS's PBJ Data Dictionary (Nurse):</a:t>
          </a:r>
          <a:r>
            <a:rPr lang="en-US" sz="1100" b="0" i="0" u="none" strike="noStrike">
              <a:solidFill>
                <a:schemeClr val="dk1"/>
              </a:solidFill>
              <a:effectLst/>
              <a:latin typeface="+mn-lt"/>
              <a:ea typeface="+mn-ea"/>
              <a:cs typeface="+mn-cs"/>
            </a:rPr>
            <a:t> https://data.cms.gov/resources/payroll-based-journal-daily-nurse-staffing-data-dictionary</a:t>
          </a:r>
          <a:br>
            <a:rPr lang="en-US" sz="1100" b="0" i="0" u="none" strike="noStrike">
              <a:solidFill>
                <a:schemeClr val="dk1"/>
              </a:solidFill>
              <a:effectLst/>
              <a:latin typeface="+mn-lt"/>
              <a:ea typeface="+mn-ea"/>
              <a:cs typeface="+mn-cs"/>
            </a:rPr>
          </a:br>
          <a:r>
            <a:rPr lang="en-US" sz="1100" b="1" i="0" u="none" strike="noStrike">
              <a:solidFill>
                <a:schemeClr val="dk1"/>
              </a:solidFill>
              <a:effectLst/>
              <a:latin typeface="+mn-lt"/>
              <a:ea typeface="+mn-ea"/>
              <a:cs typeface="+mn-cs"/>
            </a:rPr>
            <a:t>CMS's PBJ Data Dictionary (Non-Nurse):</a:t>
          </a:r>
          <a:r>
            <a:rPr lang="en-US" sz="1100" b="0" i="0" u="none" strike="noStrike">
              <a:solidFill>
                <a:schemeClr val="dk1"/>
              </a:solidFill>
              <a:effectLst/>
              <a:latin typeface="+mn-lt"/>
              <a:ea typeface="+mn-ea"/>
              <a:cs typeface="+mn-cs"/>
            </a:rPr>
            <a:t> https://data.cms.gov/resources/payroll-based-journal-daily-non-nurse-staffing-data-dictionary</a:t>
          </a:r>
          <a:endParaRPr lang="en-US" sz="1100"/>
        </a:p>
      </xdr:txBody>
    </xdr:sp>
    <xdr:clientData/>
  </xdr:twoCellAnchor>
  <xdr:twoCellAnchor>
    <xdr:from>
      <xdr:col>6</xdr:col>
      <xdr:colOff>313764</xdr:colOff>
      <xdr:row>18</xdr:row>
      <xdr:rowOff>141941</xdr:rowOff>
    </xdr:from>
    <xdr:to>
      <xdr:col>15</xdr:col>
      <xdr:colOff>656464</xdr:colOff>
      <xdr:row>38</xdr:row>
      <xdr:rowOff>135590</xdr:rowOff>
    </xdr:to>
    <xdr:sp macro="" textlink="">
      <xdr:nvSpPr>
        <xdr:cNvPr id="3" name="TextBox 2">
          <a:extLst>
            <a:ext uri="{FF2B5EF4-FFF2-40B4-BE49-F238E27FC236}">
              <a16:creationId xmlns:a16="http://schemas.microsoft.com/office/drawing/2014/main" id="{5E5CC0B4-3203-8144-8A9D-AC3458D3799F}"/>
            </a:ext>
            <a:ext uri="{147F2762-F138-4A5C-976F-8EAC2B608ADB}">
              <a16:predDERef xmlns:a16="http://schemas.microsoft.com/office/drawing/2014/main" pred="{BA7ADAF7-8EE1-4CCC-B84B-0DA35C676E82}"/>
            </a:ext>
          </a:extLst>
        </xdr:cNvPr>
        <xdr:cNvSpPr txBox="1"/>
      </xdr:nvSpPr>
      <xdr:spPr>
        <a:xfrm>
          <a:off x="4352364" y="3570941"/>
          <a:ext cx="6400600" cy="3803649"/>
        </a:xfrm>
        <a:prstGeom prst="rect">
          <a:avLst/>
        </a:prstGeom>
        <a:solidFill>
          <a:schemeClr val="bg2"/>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600" b="1">
              <a:solidFill>
                <a:schemeClr val="dk1"/>
              </a:solidFill>
              <a:effectLst/>
              <a:latin typeface="+mn-lt"/>
              <a:ea typeface="+mn-ea"/>
              <a:cs typeface="+mn-cs"/>
            </a:rPr>
            <a:t>Notes on Expected Staffing Metric</a:t>
          </a:r>
          <a:endParaRPr lang="en-US" sz="1600">
            <a:solidFill>
              <a:schemeClr val="dk1"/>
            </a:solidFill>
            <a:effectLst/>
            <a:latin typeface="+mn-lt"/>
            <a:ea typeface="+mn-ea"/>
            <a:cs typeface="+mn-cs"/>
          </a:endParaRPr>
        </a:p>
        <a:p>
          <a:br>
            <a:rPr lang="en-US" sz="1100">
              <a:solidFill>
                <a:schemeClr val="dk1"/>
              </a:solidFill>
              <a:effectLst/>
              <a:latin typeface="+mn-lt"/>
              <a:ea typeface="+mn-ea"/>
              <a:cs typeface="+mn-cs"/>
            </a:rPr>
          </a:br>
          <a:r>
            <a:rPr lang="en-US" sz="1100" b="0" i="0">
              <a:solidFill>
                <a:schemeClr val="dk1"/>
              </a:solidFill>
              <a:effectLst/>
              <a:latin typeface="+mn-lt"/>
              <a:ea typeface="+mn-ea"/>
              <a:cs typeface="+mn-cs"/>
            </a:rPr>
            <a:t>Starting in Q3 2024, LTCCC’s staffing reports incorporate </a:t>
          </a:r>
          <a:r>
            <a:rPr lang="en-US" sz="1100" b="0" i="1">
              <a:solidFill>
                <a:schemeClr val="dk1"/>
              </a:solidFill>
              <a:effectLst/>
              <a:latin typeface="+mn-lt"/>
              <a:ea typeface="+mn-ea"/>
              <a:cs typeface="+mn-cs"/>
            </a:rPr>
            <a:t>Expected Staffing Ratios</a:t>
          </a:r>
          <a:r>
            <a:rPr lang="en-US" sz="1100" b="0" i="0">
              <a:solidFill>
                <a:schemeClr val="dk1"/>
              </a:solidFill>
              <a:effectLst/>
              <a:latin typeface="+mn-lt"/>
              <a:ea typeface="+mn-ea"/>
              <a:cs typeface="+mn-cs"/>
            </a:rPr>
            <a:t>, calculated using each facility’s </a:t>
          </a:r>
          <a:r>
            <a:rPr lang="en-US" sz="1100" b="1" i="0">
              <a:solidFill>
                <a:schemeClr val="dk1"/>
              </a:solidFill>
              <a:effectLst/>
              <a:latin typeface="+mn-lt"/>
              <a:ea typeface="+mn-ea"/>
              <a:cs typeface="+mn-cs"/>
            </a:rPr>
            <a:t>CMS Nursing Case-Mix Index (CMI)</a:t>
          </a:r>
          <a:r>
            <a:rPr lang="en-US" sz="1100" b="0" i="0">
              <a:solidFill>
                <a:schemeClr val="dk1"/>
              </a:solidFill>
              <a:effectLst/>
              <a:latin typeface="+mn-lt"/>
              <a:ea typeface="+mn-ea"/>
              <a:cs typeface="+mn-cs"/>
            </a:rPr>
            <a:t>. These expected values reflect the staffing needed based on resident acuity, as identified by the facility. The methodology was developed by experts and reported on in the </a:t>
          </a:r>
          <a:r>
            <a:rPr lang="en-US" sz="1100" b="0" i="1">
              <a:solidFill>
                <a:schemeClr val="dk1"/>
              </a:solidFill>
              <a:effectLst/>
              <a:latin typeface="+mn-lt"/>
              <a:ea typeface="+mn-ea"/>
              <a:cs typeface="+mn-cs"/>
            </a:rPr>
            <a:t>Journal of the American Geriatrics Society </a:t>
          </a:r>
          <a:r>
            <a:rPr lang="en-US" sz="1100" b="0" i="0">
              <a:solidFill>
                <a:schemeClr val="dk1"/>
              </a:solidFill>
              <a:effectLst/>
              <a:latin typeface="+mn-lt"/>
              <a:ea typeface="+mn-ea"/>
              <a:cs typeface="+mn-cs"/>
            </a:rPr>
            <a:t>article, “Nursing Home Guide to Adjusting Nurse Staffing for Resident Case-Mix." </a:t>
          </a:r>
        </a:p>
        <a:p>
          <a:r>
            <a:rPr lang="en-US" sz="1100" b="0" i="0">
              <a:solidFill>
                <a:schemeClr val="dk1"/>
              </a:solidFill>
              <a:effectLst/>
              <a:latin typeface="+mn-lt"/>
              <a:ea typeface="+mn-ea"/>
              <a:cs typeface="+mn-cs"/>
            </a:rPr>
            <a:t>Visit </a:t>
          </a:r>
          <a:r>
            <a:rPr lang="en-US" sz="1100" b="0" i="0" u="sng">
              <a:solidFill>
                <a:schemeClr val="dk1"/>
              </a:solidFill>
              <a:effectLst/>
              <a:latin typeface="+mn-lt"/>
              <a:ea typeface="+mn-ea"/>
              <a:cs typeface="+mn-cs"/>
              <a:hlinkClick xmlns:r="http://schemas.openxmlformats.org/officeDocument/2006/relationships" r:id=""/>
            </a:rPr>
            <a:t>https://nursinghome411.org/nurse-rating-methodology/</a:t>
          </a:r>
          <a:r>
            <a:rPr lang="en-US" sz="1100" b="0" i="0">
              <a:solidFill>
                <a:schemeClr val="dk1"/>
              </a:solidFill>
              <a:effectLst/>
              <a:latin typeface="+mn-lt"/>
              <a:ea typeface="+mn-ea"/>
              <a:cs typeface="+mn-cs"/>
            </a:rPr>
            <a:t> for a summary of the methodology. The article is available at </a:t>
          </a:r>
          <a:r>
            <a:rPr lang="en-US" sz="1100" b="0" i="0">
              <a:solidFill>
                <a:schemeClr val="dk1"/>
              </a:solidFill>
              <a:effectLst/>
              <a:latin typeface="+mn-lt"/>
              <a:ea typeface="+mn-ea"/>
              <a:cs typeface="+mn-cs"/>
              <a:hlinkClick xmlns:r="http://schemas.openxmlformats.org/officeDocument/2006/relationships" r:id=""/>
            </a:rPr>
            <a:t>https://doi.org/10.1111/jgs.19501</a:t>
          </a:r>
          <a:r>
            <a:rPr lang="en-US" sz="1100" b="0" i="0">
              <a:solidFill>
                <a:schemeClr val="dk1"/>
              </a:solidFill>
              <a:effectLst/>
              <a:latin typeface="+mn-lt"/>
              <a:ea typeface="+mn-ea"/>
              <a:cs typeface="+mn-cs"/>
            </a:rPr>
            <a:t>.</a:t>
          </a:r>
          <a:br>
            <a:rPr lang="en-US" sz="1100" b="1" i="0">
              <a:solidFill>
                <a:schemeClr val="dk1"/>
              </a:solidFill>
              <a:effectLst/>
              <a:latin typeface="+mn-lt"/>
              <a:ea typeface="+mn-ea"/>
              <a:cs typeface="+mn-cs"/>
            </a:rPr>
          </a:br>
          <a:br>
            <a:rPr lang="en-US" sz="1100" b="1" i="0">
              <a:solidFill>
                <a:schemeClr val="dk1"/>
              </a:solidFill>
              <a:effectLst/>
              <a:latin typeface="+mn-lt"/>
              <a:ea typeface="+mn-ea"/>
              <a:cs typeface="+mn-cs"/>
            </a:rPr>
          </a:br>
          <a:r>
            <a:rPr lang="en-US" sz="1100" b="1" i="0">
              <a:solidFill>
                <a:schemeClr val="dk1"/>
              </a:solidFill>
              <a:effectLst/>
              <a:latin typeface="+mn-lt"/>
              <a:ea typeface="+mn-ea"/>
              <a:cs typeface="+mn-cs"/>
            </a:rPr>
            <a:t>Expected </a:t>
          </a:r>
          <a:r>
            <a:rPr lang="en-US" sz="1100" b="1" i="1">
              <a:solidFill>
                <a:schemeClr val="dk1"/>
              </a:solidFill>
              <a:effectLst/>
              <a:latin typeface="+mn-lt"/>
              <a:ea typeface="+mn-ea"/>
              <a:cs typeface="+mn-cs"/>
            </a:rPr>
            <a:t>Total Nurse Staff</a:t>
          </a:r>
          <a:r>
            <a:rPr lang="en-US" sz="1100" b="0" i="1">
              <a:solidFill>
                <a:schemeClr val="dk1"/>
              </a:solidFill>
              <a:effectLst/>
              <a:latin typeface="+mn-lt"/>
              <a:ea typeface="+mn-ea"/>
              <a:cs typeface="+mn-cs"/>
            </a:rPr>
            <a:t> includes all reported licensed nursing and nurse aide hours.</a:t>
          </a:r>
          <a:endParaRPr lang="en-US" sz="1100" b="0" i="0">
            <a:solidFill>
              <a:schemeClr val="dk1"/>
            </a:solidFill>
            <a:effectLst/>
            <a:latin typeface="+mn-lt"/>
            <a:ea typeface="+mn-ea"/>
            <a:cs typeface="+mn-cs"/>
          </a:endParaRPr>
        </a:p>
        <a:p>
          <a:r>
            <a:rPr lang="en-US" sz="1100" b="1" i="1">
              <a:solidFill>
                <a:schemeClr val="dk1"/>
              </a:solidFill>
              <a:effectLst/>
              <a:latin typeface="+mn-lt"/>
              <a:ea typeface="+mn-ea"/>
              <a:cs typeface="+mn-cs"/>
            </a:rPr>
            <a:t>Expected Total RN</a:t>
          </a:r>
          <a:r>
            <a:rPr lang="en-US" sz="1100" b="0" i="1">
              <a:solidFill>
                <a:schemeClr val="dk1"/>
              </a:solidFill>
              <a:effectLst/>
              <a:latin typeface="+mn-lt"/>
              <a:ea typeface="+mn-ea"/>
              <a:cs typeface="+mn-cs"/>
            </a:rPr>
            <a:t> includes RN, RN Admin, and DON.</a:t>
          </a:r>
          <a:endParaRPr lang="en-US" sz="1100" b="0" i="0">
            <a:solidFill>
              <a:schemeClr val="dk1"/>
            </a:solidFill>
            <a:effectLst/>
            <a:latin typeface="+mn-lt"/>
            <a:ea typeface="+mn-ea"/>
            <a:cs typeface="+mn-cs"/>
          </a:endParaRPr>
        </a:p>
        <a:p>
          <a:r>
            <a:rPr lang="en-US" sz="1100" b="1" i="1">
              <a:solidFill>
                <a:schemeClr val="dk1"/>
              </a:solidFill>
              <a:effectLst/>
              <a:latin typeface="+mn-lt"/>
              <a:ea typeface="+mn-ea"/>
              <a:cs typeface="+mn-cs"/>
            </a:rPr>
            <a:t>Expected Nurse Aide</a:t>
          </a:r>
          <a:r>
            <a:rPr lang="en-US" sz="1100" b="0" i="1">
              <a:solidFill>
                <a:schemeClr val="dk1"/>
              </a:solidFill>
              <a:effectLst/>
              <a:latin typeface="+mn-lt"/>
              <a:ea typeface="+mn-ea"/>
              <a:cs typeface="+mn-cs"/>
            </a:rPr>
            <a:t> includes CNA, Med Aide/Tech, and NA TR.</a:t>
          </a:r>
          <a:endParaRPr lang="en-US" sz="1100" b="0" i="0">
            <a:solidFill>
              <a:schemeClr val="dk1"/>
            </a:solidFill>
            <a:effectLst/>
            <a:latin typeface="+mn-lt"/>
            <a:ea typeface="+mn-ea"/>
            <a:cs typeface="+mn-cs"/>
          </a:endParaRPr>
        </a:p>
        <a:p>
          <a:br>
            <a:rPr lang="en-US" sz="1100" b="1" i="0">
              <a:solidFill>
                <a:schemeClr val="dk1"/>
              </a:solidFill>
              <a:effectLst/>
              <a:latin typeface="+mn-lt"/>
              <a:ea typeface="+mn-ea"/>
              <a:cs typeface="+mn-cs"/>
            </a:rPr>
          </a:br>
          <a:r>
            <a:rPr lang="en-US" sz="1100" b="1" i="0">
              <a:solidFill>
                <a:schemeClr val="dk1"/>
              </a:solidFill>
              <a:effectLst/>
              <a:latin typeface="+mn-lt"/>
              <a:ea typeface="+mn-ea"/>
              <a:cs typeface="+mn-cs"/>
            </a:rPr>
            <a:t>About CMI (Case-Mix Index):</a:t>
          </a:r>
          <a:endParaRPr lang="en-US" sz="1100" b="0" i="0">
            <a:solidFill>
              <a:schemeClr val="dk1"/>
            </a:solidFill>
            <a:effectLst/>
            <a:latin typeface="+mn-lt"/>
            <a:ea typeface="+mn-ea"/>
            <a:cs typeface="+mn-cs"/>
          </a:endParaRPr>
        </a:p>
        <a:p>
          <a:r>
            <a:rPr lang="en-US" sz="1100" b="0" i="0">
              <a:solidFill>
                <a:schemeClr val="dk1"/>
              </a:solidFill>
              <a:effectLst/>
              <a:latin typeface="+mn-lt"/>
              <a:ea typeface="+mn-ea"/>
              <a:cs typeface="+mn-cs"/>
            </a:rPr>
            <a:t>The </a:t>
          </a:r>
          <a:r>
            <a:rPr lang="en-US" sz="1100" b="1" i="0">
              <a:solidFill>
                <a:schemeClr val="dk1"/>
              </a:solidFill>
              <a:effectLst/>
              <a:latin typeface="+mn-lt"/>
              <a:ea typeface="+mn-ea"/>
              <a:cs typeface="+mn-cs"/>
            </a:rPr>
            <a:t>Nursing Case-Mix Index (CMI)</a:t>
          </a:r>
          <a:r>
            <a:rPr lang="en-US" sz="1100" b="0" i="0">
              <a:solidFill>
                <a:schemeClr val="dk1"/>
              </a:solidFill>
              <a:effectLst/>
              <a:latin typeface="+mn-lt"/>
              <a:ea typeface="+mn-ea"/>
              <a:cs typeface="+mn-cs"/>
            </a:rPr>
            <a:t> is based on MDS assessments and reflects clinical complexity (e.g., ADL deficits, behavioral needs, medical conditions). CMI is obtained from the </a:t>
          </a:r>
          <a:r>
            <a:rPr lang="en-US" sz="1100" b="0" i="0" u="sng">
              <a:solidFill>
                <a:schemeClr val="dk1"/>
              </a:solidFill>
              <a:effectLst/>
              <a:latin typeface="+mn-lt"/>
              <a:ea typeface="+mn-ea"/>
              <a:cs typeface="+mn-cs"/>
            </a:rPr>
            <a:t>CMS Provider Information dataset</a:t>
          </a:r>
          <a:r>
            <a:rPr lang="en-US" sz="1100" b="0" i="0">
              <a:solidFill>
                <a:schemeClr val="dk1"/>
              </a:solidFill>
              <a:effectLst/>
              <a:latin typeface="+mn-lt"/>
              <a:ea typeface="+mn-ea"/>
              <a:cs typeface="+mn-cs"/>
            </a:rPr>
            <a:t> and merged with Payroll-Based Journal (PBJ) staffing data.</a:t>
          </a:r>
        </a:p>
        <a:p>
          <a:br>
            <a:rPr lang="en-US" sz="1100" b="1" i="0">
              <a:solidFill>
                <a:schemeClr val="dk1"/>
              </a:solidFill>
              <a:effectLst/>
              <a:latin typeface="+mn-lt"/>
              <a:ea typeface="+mn-ea"/>
              <a:cs typeface="+mn-cs"/>
            </a:rPr>
          </a:br>
          <a:r>
            <a:rPr lang="en-US" sz="1100" b="1" i="0">
              <a:solidFill>
                <a:schemeClr val="dk1"/>
              </a:solidFill>
              <a:effectLst/>
              <a:latin typeface="+mn-lt"/>
              <a:ea typeface="+mn-ea"/>
              <a:cs typeface="+mn-cs"/>
            </a:rPr>
            <a:t>Note:</a:t>
          </a:r>
          <a:r>
            <a:rPr lang="en-US" sz="1100" b="0" i="0">
              <a:solidFill>
                <a:schemeClr val="dk1"/>
              </a:solidFill>
              <a:effectLst/>
              <a:latin typeface="+mn-lt"/>
              <a:ea typeface="+mn-ea"/>
              <a:cs typeface="+mn-cs"/>
            </a:rPr>
            <a:t> All </a:t>
          </a:r>
          <a:r>
            <a:rPr lang="en-US" sz="1100" b="0" i="1">
              <a:solidFill>
                <a:schemeClr val="dk1"/>
              </a:solidFill>
              <a:effectLst/>
              <a:latin typeface="+mn-lt"/>
              <a:ea typeface="+mn-ea"/>
              <a:cs typeface="+mn-cs"/>
            </a:rPr>
            <a:t>state</a:t>
          </a:r>
          <a:r>
            <a:rPr lang="en-US" sz="1100" b="0" i="0">
              <a:solidFill>
                <a:schemeClr val="dk1"/>
              </a:solidFill>
              <a:effectLst/>
              <a:latin typeface="+mn-lt"/>
              <a:ea typeface="+mn-ea"/>
              <a:cs typeface="+mn-cs"/>
            </a:rPr>
            <a:t>, </a:t>
          </a:r>
          <a:r>
            <a:rPr lang="en-US" sz="1100" b="0" i="1">
              <a:solidFill>
                <a:schemeClr val="dk1"/>
              </a:solidFill>
              <a:effectLst/>
              <a:latin typeface="+mn-lt"/>
              <a:ea typeface="+mn-ea"/>
              <a:cs typeface="+mn-cs"/>
            </a:rPr>
            <a:t>regional</a:t>
          </a:r>
          <a:r>
            <a:rPr lang="en-US" sz="1100" b="0" i="0">
              <a:solidFill>
                <a:schemeClr val="dk1"/>
              </a:solidFill>
              <a:effectLst/>
              <a:latin typeface="+mn-lt"/>
              <a:ea typeface="+mn-ea"/>
              <a:cs typeface="+mn-cs"/>
            </a:rPr>
            <a:t>, and </a:t>
          </a:r>
          <a:r>
            <a:rPr lang="en-US" sz="1100" b="0" i="1">
              <a:solidFill>
                <a:schemeClr val="dk1"/>
              </a:solidFill>
              <a:effectLst/>
              <a:latin typeface="+mn-lt"/>
              <a:ea typeface="+mn-ea"/>
              <a:cs typeface="+mn-cs"/>
            </a:rPr>
            <a:t>federal</a:t>
          </a:r>
          <a:r>
            <a:rPr lang="en-US" sz="1100" b="0" i="0">
              <a:solidFill>
                <a:schemeClr val="dk1"/>
              </a:solidFill>
              <a:effectLst/>
              <a:latin typeface="+mn-lt"/>
              <a:ea typeface="+mn-ea"/>
              <a:cs typeface="+mn-cs"/>
            </a:rPr>
            <a:t> calculations for </a:t>
          </a:r>
          <a:r>
            <a:rPr lang="en-US" sz="1100" b="1" i="0">
              <a:solidFill>
                <a:schemeClr val="dk1"/>
              </a:solidFill>
              <a:effectLst/>
              <a:latin typeface="+mn-lt"/>
              <a:ea typeface="+mn-ea"/>
              <a:cs typeface="+mn-cs"/>
            </a:rPr>
            <a:t>expected staffing and deviation</a:t>
          </a:r>
          <a:r>
            <a:rPr lang="en-US" sz="1100" b="0" i="0">
              <a:solidFill>
                <a:schemeClr val="dk1"/>
              </a:solidFill>
              <a:effectLst/>
              <a:latin typeface="+mn-lt"/>
              <a:ea typeface="+mn-ea"/>
              <a:cs typeface="+mn-cs"/>
            </a:rPr>
            <a:t> exclude facilities that did not report a valid Case-Mix Index (CMI).</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381001</xdr:colOff>
      <xdr:row>1</xdr:row>
      <xdr:rowOff>2</xdr:rowOff>
    </xdr:from>
    <xdr:to>
      <xdr:col>0</xdr:col>
      <xdr:colOff>6594929</xdr:colOff>
      <xdr:row>50</xdr:row>
      <xdr:rowOff>74041</xdr:rowOff>
    </xdr:to>
    <xdr:sp macro="" textlink="">
      <xdr:nvSpPr>
        <xdr:cNvPr id="2" name="TextBox 1">
          <a:extLst>
            <a:ext uri="{FF2B5EF4-FFF2-40B4-BE49-F238E27FC236}">
              <a16:creationId xmlns:a16="http://schemas.microsoft.com/office/drawing/2014/main" id="{CB6FDBDE-DE6F-BB42-A36B-58C79EDCAB35}"/>
            </a:ext>
          </a:extLst>
        </xdr:cNvPr>
        <xdr:cNvSpPr txBox="1"/>
      </xdr:nvSpPr>
      <xdr:spPr>
        <a:xfrm>
          <a:off x="381001" y="203202"/>
          <a:ext cx="295728" cy="10030839"/>
        </a:xfrm>
        <a:prstGeom prst="rect">
          <a:avLst/>
        </a:prstGeom>
        <a:solidFill>
          <a:schemeClr val="accent4">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en-US" sz="1800" b="1" i="0" u="none" strike="noStrike">
              <a:solidFill>
                <a:schemeClr val="dk1"/>
              </a:solidFill>
              <a:effectLst/>
              <a:latin typeface="+mn-lt"/>
              <a:ea typeface="+mn-ea"/>
              <a:cs typeface="+mn-cs"/>
            </a:rPr>
            <a:t>Data</a:t>
          </a:r>
          <a:r>
            <a:rPr lang="en-US" sz="1800" b="1" i="0" u="none" strike="noStrike" baseline="0">
              <a:solidFill>
                <a:schemeClr val="dk1"/>
              </a:solidFill>
              <a:effectLst/>
              <a:latin typeface="+mn-lt"/>
              <a:ea typeface="+mn-ea"/>
              <a:cs typeface="+mn-cs"/>
            </a:rPr>
            <a:t> Notes</a:t>
          </a:r>
          <a:br>
            <a:rPr lang="en-US" sz="1100" b="1" i="0" u="none" strike="noStrike">
              <a:solidFill>
                <a:schemeClr val="dk1"/>
              </a:solidFill>
              <a:effectLst/>
              <a:latin typeface="+mn-lt"/>
              <a:ea typeface="+mn-ea"/>
              <a:cs typeface="+mn-cs"/>
            </a:rPr>
          </a:br>
          <a:endParaRPr lang="en-US" sz="1100" b="1" i="0" u="none" strike="noStrike">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0" i="0">
              <a:solidFill>
                <a:schemeClr val="dk1"/>
              </a:solidFill>
              <a:effectLst/>
              <a:latin typeface="+mn-lt"/>
              <a:ea typeface="+mn-ea"/>
              <a:cs typeface="+mn-cs"/>
            </a:rPr>
            <a:t>*The total of nursing homes reporting 0 administrator hours does not include nursing homes that reported invalid admin data (N = 50).</a:t>
          </a:r>
          <a:endParaRPr lang="en-US" sz="1100" b="1" i="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lang="en-US" sz="1100" b="1" i="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i="0">
              <a:solidFill>
                <a:schemeClr val="dk1"/>
              </a:solidFill>
              <a:effectLst/>
              <a:latin typeface="+mn-lt"/>
              <a:ea typeface="+mn-ea"/>
              <a:cs typeface="+mn-cs"/>
            </a:rPr>
            <a:t>What is staff HPRD? </a:t>
          </a:r>
          <a:r>
            <a:rPr lang="en-US" sz="1100" b="0" i="0">
              <a:solidFill>
                <a:schemeClr val="dk1"/>
              </a:solidFill>
              <a:effectLst/>
              <a:latin typeface="+mn-lt"/>
              <a:ea typeface="+mn-ea"/>
              <a:cs typeface="+mn-cs"/>
            </a:rPr>
            <a:t>HPRD (Hours Per Resident Day) is a staffing metric calculated by dividing a nursing home's daily staff hours by its MDS census. For example, a nursing home averaging 300 total nurse staff hours and 100 residents per day would have a 3.0 Total Nurse Staff HPRD (300/100 = 3.0). </a:t>
          </a:r>
          <a:r>
            <a:rPr lang="en-US" sz="1100" b="1" i="0">
              <a:solidFill>
                <a:schemeClr val="dk1"/>
              </a:solidFill>
              <a:effectLst/>
              <a:latin typeface="+mn-lt"/>
              <a:ea typeface="+mn-ea"/>
              <a:cs typeface="+mn-cs"/>
            </a:rPr>
            <a:t>MPRD</a:t>
          </a:r>
          <a:r>
            <a:rPr lang="en-US" sz="1100" b="0" i="0">
              <a:solidFill>
                <a:schemeClr val="dk1"/>
              </a:solidFill>
              <a:effectLst/>
              <a:latin typeface="+mn-lt"/>
              <a:ea typeface="+mn-ea"/>
              <a:cs typeface="+mn-cs"/>
            </a:rPr>
            <a:t> is Minutes Per</a:t>
          </a:r>
          <a:r>
            <a:rPr lang="en-US" sz="1100" b="0" i="0" baseline="0">
              <a:solidFill>
                <a:schemeClr val="dk1"/>
              </a:solidFill>
              <a:effectLst/>
              <a:latin typeface="+mn-lt"/>
              <a:ea typeface="+mn-ea"/>
              <a:cs typeface="+mn-cs"/>
            </a:rPr>
            <a:t> Resident Day.</a:t>
          </a:r>
          <a:br>
            <a:rPr lang="en-US" sz="1100" b="0" i="0" u="none" strike="noStrike">
              <a:solidFill>
                <a:schemeClr val="dk1"/>
              </a:solidFill>
              <a:effectLst/>
              <a:latin typeface="+mn-lt"/>
              <a:ea typeface="+mn-ea"/>
              <a:cs typeface="+mn-cs"/>
            </a:rPr>
          </a:br>
          <a:br>
            <a:rPr lang="en-US" sz="1100" b="0" i="0" u="none" strike="noStrike">
              <a:solidFill>
                <a:schemeClr val="dk1"/>
              </a:solidFill>
              <a:effectLst/>
              <a:latin typeface="+mn-lt"/>
              <a:ea typeface="+mn-ea"/>
              <a:cs typeface="+mn-cs"/>
            </a:rPr>
          </a:br>
          <a:r>
            <a:rPr kumimoji="0" lang="en-US" sz="1100" b="1" i="0" u="none" strike="noStrike" kern="0" cap="none" spc="0" normalizeH="0" baseline="0" noProof="0">
              <a:ln>
                <a:noFill/>
              </a:ln>
              <a:solidFill>
                <a:prstClr val="black"/>
              </a:solidFill>
              <a:effectLst/>
              <a:uLnTx/>
              <a:uFillTx/>
              <a:latin typeface="+mn-lt"/>
              <a:ea typeface="+mn-ea"/>
              <a:cs typeface="+mn-cs"/>
            </a:rPr>
            <a:t>What staff are included in "Total Nurse Staff"?</a:t>
          </a:r>
          <a:r>
            <a:rPr kumimoji="0" lang="en-US" sz="1100" b="0" i="0" u="none" strike="noStrike" kern="0" cap="none" spc="0" normalizeH="0" baseline="0" noProof="0">
              <a:ln>
                <a:noFill/>
              </a:ln>
              <a:solidFill>
                <a:prstClr val="black"/>
              </a:solidFill>
              <a:effectLst/>
              <a:uLnTx/>
              <a:uFillTx/>
              <a:latin typeface="+mn-lt"/>
              <a:ea typeface="+mn-ea"/>
              <a:cs typeface="+mn-cs"/>
            </a:rPr>
            <a:t> Total Nurse Staff combines hours from RNs (incl. Admin and DON), LPNs (incl. Admin), CNAs, Med Aide/Tech, and NA in Training (NA TR). Total RN Staff includes RN Admin &amp; RN DON.</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1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100" b="1" i="0" u="none" strike="noStrike" kern="0" cap="none" spc="0" normalizeH="0" baseline="0" noProof="0">
              <a:ln>
                <a:noFill/>
              </a:ln>
              <a:solidFill>
                <a:prstClr val="black"/>
              </a:solidFill>
              <a:effectLst/>
              <a:uLnTx/>
              <a:uFillTx/>
              <a:latin typeface="+mn-lt"/>
              <a:ea typeface="+mn-ea"/>
              <a:cs typeface="+mn-cs"/>
            </a:rPr>
            <a:t>What staff are included in "Total Nurse Care Staff (excl. Admin/DON)"?</a:t>
          </a:r>
          <a:r>
            <a:rPr kumimoji="0" lang="en-US" sz="1100" b="0" i="0" u="none" strike="noStrike" kern="0" cap="none" spc="0" normalizeH="0" baseline="0" noProof="0">
              <a:ln>
                <a:noFill/>
              </a:ln>
              <a:solidFill>
                <a:prstClr val="black"/>
              </a:solidFill>
              <a:effectLst/>
              <a:uLnTx/>
              <a:uFillTx/>
              <a:latin typeface="+mn-lt"/>
              <a:ea typeface="+mn-ea"/>
              <a:cs typeface="+mn-cs"/>
            </a:rPr>
            <a:t> Total Nurse Care Staff combines hours from RNs, LPNs, and nurse aides (CNAs, Med Aide/Tech, and NA in Training) that are directly involved in resident care while excluding Admin &amp; DON. Total RN Care Staff excludes RN Admin &amp; RN DON.</a:t>
          </a:r>
        </a:p>
        <a:p>
          <a:pPr marL="0" marR="0" lvl="0" indent="0" defTabSz="914400" eaLnBrk="1" fontAlgn="auto" latinLnBrk="0" hangingPunct="1">
            <a:lnSpc>
              <a:spcPct val="100000"/>
            </a:lnSpc>
            <a:spcBef>
              <a:spcPts val="0"/>
            </a:spcBef>
            <a:spcAft>
              <a:spcPts val="0"/>
            </a:spcAft>
            <a:buClrTx/>
            <a:buSzTx/>
            <a:buFontTx/>
            <a:buNone/>
            <a:tabLst/>
            <a:defRPr/>
          </a:pPr>
          <a:br>
            <a:rPr kumimoji="0" lang="en-US" sz="1100" b="0" i="0" u="none" strike="noStrike" kern="0" cap="none" spc="0" normalizeH="0" baseline="0" noProof="0">
              <a:ln>
                <a:noFill/>
              </a:ln>
              <a:solidFill>
                <a:prstClr val="black"/>
              </a:solidFill>
              <a:effectLst/>
              <a:uLnTx/>
              <a:uFillTx/>
              <a:latin typeface="+mn-lt"/>
              <a:ea typeface="+mn-ea"/>
              <a:cs typeface="+mn-cs"/>
            </a:rPr>
          </a:br>
          <a:r>
            <a:rPr kumimoji="0" lang="en-US" sz="1100" b="1" i="0" u="none" strike="noStrike" kern="0" cap="none" spc="0" normalizeH="0" baseline="0" noProof="0">
              <a:ln>
                <a:noFill/>
              </a:ln>
              <a:solidFill>
                <a:srgbClr val="5B9BD5">
                  <a:lumMod val="75000"/>
                </a:srgbClr>
              </a:solidFill>
              <a:effectLst/>
              <a:uLnTx/>
              <a:uFillTx/>
              <a:latin typeface="+mn-lt"/>
              <a:ea typeface="+mn-ea"/>
              <a:cs typeface="+mn-cs"/>
            </a:rPr>
            <a:t>Note:</a:t>
          </a:r>
          <a:r>
            <a:rPr kumimoji="0" lang="en-US" sz="1100" b="1" i="1" u="none" strike="noStrike" kern="0" cap="none" spc="0" normalizeH="0" baseline="0" noProof="0">
              <a:ln>
                <a:noFill/>
              </a:ln>
              <a:solidFill>
                <a:srgbClr val="5B9BD5">
                  <a:lumMod val="75000"/>
                </a:srgbClr>
              </a:solidFill>
              <a:effectLst/>
              <a:uLnTx/>
              <a:uFillTx/>
              <a:latin typeface="+mn-lt"/>
              <a:ea typeface="+mn-ea"/>
              <a:cs typeface="+mn-cs"/>
            </a:rPr>
            <a:t> </a:t>
          </a:r>
          <a:r>
            <a:rPr kumimoji="0" lang="en-US" sz="1100" b="1" i="0" u="none" strike="noStrike" kern="0" cap="none" spc="0" normalizeH="0" baseline="0" noProof="0">
              <a:ln>
                <a:noFill/>
              </a:ln>
              <a:solidFill>
                <a:srgbClr val="5B9BD5">
                  <a:lumMod val="75000"/>
                </a:srgbClr>
              </a:solidFill>
              <a:effectLst/>
              <a:uLnTx/>
              <a:uFillTx/>
              <a:latin typeface="+mn-lt"/>
              <a:ea typeface="+mn-ea"/>
              <a:cs typeface="+mn-cs"/>
            </a:rPr>
            <a:t>Starting in Q1 2021, LTCCC’s reporting of federal staffing data was modified in two important ways. </a:t>
          </a:r>
          <a:br>
            <a:rPr kumimoji="0" lang="en-US" sz="1100" b="1" i="0" u="none" strike="noStrike" kern="0" cap="none" spc="0" normalizeH="0" baseline="0" noProof="0">
              <a:ln>
                <a:noFill/>
              </a:ln>
              <a:solidFill>
                <a:srgbClr val="5B9BD5">
                  <a:lumMod val="75000"/>
                </a:srgbClr>
              </a:solidFill>
              <a:effectLst/>
              <a:uLnTx/>
              <a:uFillTx/>
              <a:latin typeface="+mn-lt"/>
              <a:ea typeface="+mn-ea"/>
              <a:cs typeface="+mn-cs"/>
            </a:rPr>
          </a:br>
          <a:r>
            <a:rPr kumimoji="0" lang="en-US" sz="1100" b="1" i="0" u="none" strike="noStrike" kern="0" cap="none" spc="0" normalizeH="0" baseline="0" noProof="0">
              <a:ln>
                <a:noFill/>
              </a:ln>
              <a:solidFill>
                <a:srgbClr val="5B9BD5">
                  <a:lumMod val="75000"/>
                </a:srgbClr>
              </a:solidFill>
              <a:effectLst/>
              <a:uLnTx/>
              <a:uFillTx/>
              <a:latin typeface="+mn-lt"/>
              <a:ea typeface="+mn-ea"/>
              <a:cs typeface="+mn-cs"/>
            </a:rPr>
            <a:t>1) Highlighting “Total Nurse Staff HPRD,” a more expansive metric that includes all PBJ nurse staffing categories; and 2) Expanding “Total Direct Care Staff HPRD” to include Med Aide/Tech and NA TR. Med Aide/Tech and NA TR were not included in previous LTCCC staffing reports.</a:t>
          </a:r>
          <a:br>
            <a:rPr lang="en-US" sz="1100" b="0" i="0" u="none" strike="noStrike">
              <a:solidFill>
                <a:schemeClr val="dk1"/>
              </a:solidFill>
              <a:effectLst/>
              <a:latin typeface="+mn-lt"/>
              <a:ea typeface="+mn-ea"/>
              <a:cs typeface="+mn-cs"/>
            </a:rPr>
          </a:br>
          <a:endParaRPr lang="en-US" sz="1100" b="0" i="0" u="none" strike="noStrike">
            <a:solidFill>
              <a:schemeClr val="dk1"/>
            </a:solidFill>
            <a:effectLst/>
            <a:latin typeface="+mn-lt"/>
            <a:ea typeface="+mn-ea"/>
            <a:cs typeface="+mn-cs"/>
          </a:endParaRPr>
        </a:p>
        <a:p>
          <a:r>
            <a:rPr lang="en-US" sz="1100" b="1" i="0" u="none" strike="noStrike">
              <a:solidFill>
                <a:schemeClr val="dk1"/>
              </a:solidFill>
              <a:effectLst/>
              <a:latin typeface="+mn-lt"/>
              <a:ea typeface="+mn-ea"/>
              <a:cs typeface="+mn-cs"/>
            </a:rPr>
            <a:t>Calculating state and national averages:</a:t>
          </a:r>
          <a:r>
            <a:rPr lang="en-US" sz="1100" b="0" i="0" u="none" strike="noStrike">
              <a:solidFill>
                <a:schemeClr val="dk1"/>
              </a:solidFill>
              <a:effectLst/>
              <a:latin typeface="+mn-lt"/>
              <a:ea typeface="+mn-ea"/>
              <a:cs typeface="+mn-cs"/>
            </a:rPr>
            <a:t> State and national staffing (Total and RN) HPRD were determined by dividing a given sample's aggregate of facility staffing hours by its aggregate of facility MDS census, thus accounting for variations in facility size. LTCCC staffing reports prior to Q3 2019 used different methodology by averaging all facility HPRDs in a sample (without adjusting for facility size) to determine state and national staffing averages. See "National/State average calculation" box on left for more info.</a:t>
          </a:r>
          <a:br>
            <a:rPr lang="en-US" sz="1100" b="1" i="0" u="none" strike="noStrike">
              <a:solidFill>
                <a:schemeClr val="dk1"/>
              </a:solidFill>
              <a:effectLst/>
              <a:latin typeface="+mn-lt"/>
              <a:ea typeface="+mn-ea"/>
              <a:cs typeface="+mn-cs"/>
            </a:rPr>
          </a:br>
          <a:br>
            <a:rPr lang="en-US" sz="1100" b="1" i="0" u="none" strike="noStrike">
              <a:solidFill>
                <a:schemeClr val="dk1"/>
              </a:solidFill>
              <a:effectLst/>
              <a:latin typeface="+mn-lt"/>
              <a:ea typeface="+mn-ea"/>
              <a:cs typeface="+mn-cs"/>
            </a:rPr>
          </a:br>
          <a:r>
            <a:rPr lang="en-US" sz="1100" b="1" i="0" u="none" strike="noStrike">
              <a:solidFill>
                <a:schemeClr val="dk1"/>
              </a:solidFill>
              <a:effectLst/>
              <a:latin typeface="+mn-lt"/>
              <a:ea typeface="+mn-ea"/>
              <a:cs typeface="+mn-cs"/>
            </a:rPr>
            <a:t>More on Payroll-Based Journal (PBJ) staffing data. (1) </a:t>
          </a:r>
          <a:r>
            <a:rPr lang="en-US" sz="1100" b="0" i="0" u="none" strike="noStrike">
              <a:solidFill>
                <a:schemeClr val="dk1"/>
              </a:solidFill>
              <a:effectLst/>
              <a:latin typeface="+mn-lt"/>
              <a:ea typeface="+mn-ea"/>
              <a:cs typeface="+mn-cs"/>
            </a:rPr>
            <a:t>Facility staff averages are determined based on PBJ reporting </a:t>
          </a:r>
          <a:r>
            <a:rPr lang="en-US" sz="1100" b="1" i="0" u="none" strike="noStrike">
              <a:solidFill>
                <a:schemeClr val="dk1"/>
              </a:solidFill>
              <a:effectLst/>
              <a:latin typeface="+mn-lt"/>
              <a:ea typeface="+mn-ea"/>
              <a:cs typeface="+mn-cs"/>
            </a:rPr>
            <a:t>(2)</a:t>
          </a:r>
          <a:r>
            <a:rPr lang="en-US" sz="1100" b="0" i="0" u="none" strike="noStrike">
              <a:solidFill>
                <a:schemeClr val="dk1"/>
              </a:solidFill>
              <a:effectLst/>
              <a:latin typeface="+mn-lt"/>
              <a:ea typeface="+mn-ea"/>
              <a:cs typeface="+mn-cs"/>
            </a:rPr>
            <a:t> Not all facilities are in compliance with the staff reporting requirement. This may affect averages at the facility, state, and national level. </a:t>
          </a:r>
          <a:r>
            <a:rPr lang="en-US" sz="1100" b="1" i="0" u="none" strike="noStrike">
              <a:solidFill>
                <a:schemeClr val="dk1"/>
              </a:solidFill>
              <a:effectLst/>
              <a:latin typeface="+mn-lt"/>
              <a:ea typeface="+mn-ea"/>
              <a:cs typeface="+mn-cs"/>
            </a:rPr>
            <a:t>(3) </a:t>
          </a:r>
          <a:r>
            <a:rPr lang="en-US" sz="1100" b="0" i="0" u="none" strike="noStrike">
              <a:solidFill>
                <a:schemeClr val="dk1"/>
              </a:solidFill>
              <a:effectLst/>
              <a:latin typeface="+mn-lt"/>
              <a:ea typeface="+mn-ea"/>
              <a:cs typeface="+mn-cs"/>
            </a:rPr>
            <a:t>The list includes Transitional Care Units and pediatric nursing homes, which generally have significantly higher staffing than a typical nursing home. This, too, will impact state and national averages.</a:t>
          </a:r>
          <a:br>
            <a:rPr lang="en-US" sz="1100" b="0" i="0" u="none" strike="noStrike">
              <a:solidFill>
                <a:schemeClr val="dk1"/>
              </a:solidFill>
              <a:effectLst/>
              <a:latin typeface="+mn-lt"/>
              <a:ea typeface="+mn-ea"/>
              <a:cs typeface="+mn-cs"/>
            </a:rPr>
          </a:br>
          <a:br>
            <a:rPr lang="en-US" sz="1100" b="0" i="0" u="none" strike="noStrike">
              <a:solidFill>
                <a:schemeClr val="dk1"/>
              </a:solidFill>
              <a:effectLst/>
              <a:latin typeface="+mn-lt"/>
              <a:ea typeface="+mn-ea"/>
              <a:cs typeface="+mn-cs"/>
            </a:rPr>
          </a:br>
          <a:r>
            <a:rPr lang="en-US" sz="1100" b="1" i="0" u="none" strike="noStrike">
              <a:solidFill>
                <a:schemeClr val="dk1"/>
              </a:solidFill>
              <a:effectLst/>
              <a:latin typeface="+mn-lt"/>
              <a:ea typeface="+mn-ea"/>
              <a:cs typeface="+mn-cs"/>
            </a:rPr>
            <a:t>CMS Regions: </a:t>
          </a:r>
          <a:r>
            <a:rPr lang="en-US" sz="1100" b="0" i="0" u="none" strike="noStrike">
              <a:solidFill>
                <a:schemeClr val="dk1"/>
              </a:solidFill>
              <a:effectLst/>
              <a:latin typeface="+mn-lt"/>
              <a:ea typeface="+mn-ea"/>
              <a:cs typeface="+mn-cs"/>
            </a:rPr>
            <a:t>CMS's 10 regional locations serve different states and territories in the United States. For more information on CMS's regional offices, visit https://www.cms.gov/Medicare/Coding/ICD10/CMS-Regional-Offices.</a:t>
          </a:r>
          <a:br>
            <a:rPr lang="en-US" sz="1100" b="0" i="0" u="none" strike="noStrike">
              <a:solidFill>
                <a:schemeClr val="dk1"/>
              </a:solidFill>
              <a:effectLst/>
              <a:latin typeface="+mn-lt"/>
              <a:ea typeface="+mn-ea"/>
              <a:cs typeface="+mn-cs"/>
            </a:rPr>
          </a:br>
          <a:br>
            <a:rPr lang="en-US" sz="1100" b="0" i="0" u="none" strike="noStrike">
              <a:solidFill>
                <a:schemeClr val="dk1"/>
              </a:solidFill>
              <a:effectLst/>
              <a:latin typeface="+mn-lt"/>
              <a:ea typeface="+mn-ea"/>
              <a:cs typeface="+mn-cs"/>
            </a:rPr>
          </a:br>
          <a:r>
            <a:rPr lang="en-US" sz="1100" b="1" i="0" u="none" strike="noStrike">
              <a:solidFill>
                <a:schemeClr val="dk1"/>
              </a:solidFill>
              <a:effectLst/>
              <a:latin typeface="+mn-lt"/>
              <a:ea typeface="+mn-ea"/>
              <a:cs typeface="+mn-cs"/>
            </a:rPr>
            <a:t>For LTCCC's full Q1 2025 staffing report, visit https://nursinghome411.org/staffing-q1-2025/.</a:t>
          </a:r>
          <a:br>
            <a:rPr lang="en-US" sz="1100" b="1" i="0" u="none" strike="noStrike">
              <a:solidFill>
                <a:schemeClr val="dk1"/>
              </a:solidFill>
              <a:effectLst/>
              <a:latin typeface="+mn-lt"/>
              <a:ea typeface="+mn-ea"/>
              <a:cs typeface="+mn-cs"/>
            </a:rPr>
          </a:br>
          <a:br>
            <a:rPr lang="en-US" sz="1100" b="0" i="0" u="none" strike="noStrike">
              <a:solidFill>
                <a:schemeClr val="dk1"/>
              </a:solidFill>
              <a:effectLst/>
              <a:latin typeface="+mn-lt"/>
              <a:ea typeface="+mn-ea"/>
              <a:cs typeface="+mn-cs"/>
            </a:rPr>
          </a:br>
          <a:r>
            <a:rPr lang="en-US" sz="1600" b="1" i="0" u="none" strike="noStrike">
              <a:solidFill>
                <a:schemeClr val="dk1"/>
              </a:solidFill>
              <a:effectLst/>
              <a:latin typeface="+mn-lt"/>
              <a:ea typeface="+mn-ea"/>
              <a:cs typeface="+mn-cs"/>
            </a:rPr>
            <a:t>Sources</a:t>
          </a:r>
          <a:br>
            <a:rPr lang="en-US" sz="1100" b="1" i="0" u="none" strike="noStrike">
              <a:solidFill>
                <a:schemeClr val="dk1"/>
              </a:solidFill>
              <a:effectLst/>
              <a:latin typeface="+mn-lt"/>
              <a:ea typeface="+mn-ea"/>
              <a:cs typeface="+mn-cs"/>
            </a:rPr>
          </a:br>
          <a:r>
            <a:rPr lang="en-US" sz="1100" b="1" i="0" u="none" strike="noStrike">
              <a:solidFill>
                <a:schemeClr val="dk1"/>
              </a:solidFill>
              <a:effectLst/>
              <a:latin typeface="+mn-lt"/>
              <a:ea typeface="+mn-ea"/>
              <a:cs typeface="+mn-cs"/>
            </a:rPr>
            <a:t>PBJ Daily Nurse Staffing Data:</a:t>
          </a:r>
          <a:r>
            <a:rPr lang="en-US" sz="1100" b="0" i="0" u="none" strike="noStrike">
              <a:solidFill>
                <a:schemeClr val="dk1"/>
              </a:solidFill>
              <a:effectLst/>
              <a:latin typeface="+mn-lt"/>
              <a:ea typeface="+mn-ea"/>
              <a:cs typeface="+mn-cs"/>
            </a:rPr>
            <a:t> https://data.cms.gov/quality-of-care/payroll-based-journal-daily-nurse-staffing</a:t>
          </a:r>
          <a:br>
            <a:rPr lang="en-US" sz="1100" b="0" i="0" u="none" strike="noStrike">
              <a:solidFill>
                <a:schemeClr val="dk1"/>
              </a:solidFill>
              <a:effectLst/>
              <a:latin typeface="+mn-lt"/>
              <a:ea typeface="+mn-ea"/>
              <a:cs typeface="+mn-cs"/>
            </a:rPr>
          </a:br>
          <a:r>
            <a:rPr lang="en-US" sz="1100" b="1" i="0" u="none" strike="noStrike">
              <a:solidFill>
                <a:schemeClr val="dk1"/>
              </a:solidFill>
              <a:effectLst/>
              <a:latin typeface="+mn-lt"/>
              <a:ea typeface="+mn-ea"/>
              <a:cs typeface="+mn-cs"/>
            </a:rPr>
            <a:t>PBJ Daily Non-Nurse Staffing Data:</a:t>
          </a:r>
          <a:r>
            <a:rPr lang="en-US" sz="1100" b="0" i="0" u="none" strike="noStrike">
              <a:solidFill>
                <a:schemeClr val="dk1"/>
              </a:solidFill>
              <a:effectLst/>
              <a:latin typeface="+mn-lt"/>
              <a:ea typeface="+mn-ea"/>
              <a:cs typeface="+mn-cs"/>
            </a:rPr>
            <a:t> https://data.cms.gov/quality-of-care/payroll-based-journal-daily-non-nurse-staffing</a:t>
          </a:r>
          <a:br>
            <a:rPr lang="en-US" sz="1100" b="0" i="0" u="none" strike="noStrike">
              <a:solidFill>
                <a:schemeClr val="dk1"/>
              </a:solidFill>
              <a:effectLst/>
              <a:latin typeface="+mn-lt"/>
              <a:ea typeface="+mn-ea"/>
              <a:cs typeface="+mn-cs"/>
            </a:rPr>
          </a:br>
          <a:r>
            <a:rPr lang="en-US" sz="1100" b="1" i="0" u="none" strike="noStrike">
              <a:solidFill>
                <a:schemeClr val="dk1"/>
              </a:solidFill>
              <a:effectLst/>
              <a:latin typeface="+mn-lt"/>
              <a:ea typeface="+mn-ea"/>
              <a:cs typeface="+mn-cs"/>
            </a:rPr>
            <a:t>Information on payroll-based staff reporting requirements</a:t>
          </a:r>
          <a:r>
            <a:rPr lang="en-US" sz="1100" b="0" i="0" u="none" strike="noStrike">
              <a:solidFill>
                <a:schemeClr val="dk1"/>
              </a:solidFill>
              <a:effectLst/>
              <a:latin typeface="+mn-lt"/>
              <a:ea typeface="+mn-ea"/>
              <a:cs typeface="+mn-cs"/>
            </a:rPr>
            <a:t>: https://www.cms.gov/Medicare/Quality-Initiatives-Patient-Assessment-Instruments/NursingHomeQualityInits/Staffing-Data-Submission-PBJ</a:t>
          </a:r>
          <a:br>
            <a:rPr lang="en-US" sz="1100" b="0" i="0" u="none" strike="noStrike">
              <a:solidFill>
                <a:schemeClr val="dk1"/>
              </a:solidFill>
              <a:effectLst/>
              <a:latin typeface="+mn-lt"/>
              <a:ea typeface="+mn-ea"/>
              <a:cs typeface="+mn-cs"/>
            </a:rPr>
          </a:br>
          <a:r>
            <a:rPr lang="en-US" sz="1100" b="1" i="0" u="none" strike="noStrike">
              <a:solidFill>
                <a:schemeClr val="dk1"/>
              </a:solidFill>
              <a:effectLst/>
              <a:latin typeface="+mn-lt"/>
              <a:ea typeface="+mn-ea"/>
              <a:cs typeface="+mn-cs"/>
            </a:rPr>
            <a:t>CMS's PBJ Data Dictionary (Nurse):</a:t>
          </a:r>
          <a:r>
            <a:rPr lang="en-US" sz="1100" b="0" i="0" u="none" strike="noStrike">
              <a:solidFill>
                <a:schemeClr val="dk1"/>
              </a:solidFill>
              <a:effectLst/>
              <a:latin typeface="+mn-lt"/>
              <a:ea typeface="+mn-ea"/>
              <a:cs typeface="+mn-cs"/>
            </a:rPr>
            <a:t> https://data.cms.gov/resources/payroll-based-journal-daily-nurse-staffing-data-dictionary</a:t>
          </a:r>
          <a:br>
            <a:rPr lang="en-US" sz="1100" b="0" i="0" u="none" strike="noStrike">
              <a:solidFill>
                <a:schemeClr val="dk1"/>
              </a:solidFill>
              <a:effectLst/>
              <a:latin typeface="+mn-lt"/>
              <a:ea typeface="+mn-ea"/>
              <a:cs typeface="+mn-cs"/>
            </a:rPr>
          </a:br>
          <a:r>
            <a:rPr lang="en-US" sz="1100" b="1" i="0" u="none" strike="noStrike">
              <a:solidFill>
                <a:schemeClr val="dk1"/>
              </a:solidFill>
              <a:effectLst/>
              <a:latin typeface="+mn-lt"/>
              <a:ea typeface="+mn-ea"/>
              <a:cs typeface="+mn-cs"/>
            </a:rPr>
            <a:t>CMS's PBJ Data Dictionary (Non-Nurse):</a:t>
          </a:r>
          <a:r>
            <a:rPr lang="en-US" sz="1100" b="0" i="0" u="none" strike="noStrike">
              <a:solidFill>
                <a:schemeClr val="dk1"/>
              </a:solidFill>
              <a:effectLst/>
              <a:latin typeface="+mn-lt"/>
              <a:ea typeface="+mn-ea"/>
              <a:cs typeface="+mn-cs"/>
            </a:rPr>
            <a:t> https://data.cms.gov/resources/payroll-based-journal-daily-non-nurse-staffing-data-dictionary</a:t>
          </a:r>
          <a:endParaRPr lang="en-US" sz="1100"/>
        </a:p>
      </xdr:txBody>
    </xdr:sp>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Users/richardmollot/Library/CloudStorage/Dropbox/Documents/MedicareMedicaid/Nursing%20Home/SNF%20PBJ%20Data/SNF%20PBJ%202025%20Q1/PBJ-Nurse-Q1-2025.xlsx" TargetMode="External"/><Relationship Id="rId1" Type="http://schemas.openxmlformats.org/officeDocument/2006/relationships/externalLinkPath" Target="PBJ-Nurse-Q1-2025.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Nurse"/>
      <sheetName val="Summary Data"/>
      <sheetName val="Notes &amp; Glossary"/>
    </sheetNames>
    <sheetDataSet>
      <sheetData sheetId="0"/>
      <sheetData sheetId="1"/>
      <sheetData sheetId="2"/>
    </sheetDataSet>
  </externalBook>
</externalLink>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7CC23EF7-7FE9-D14B-AF20-A3E2E27AFC0E}" name="Table1" displayName="Table1" ref="A1:T93" totalsRowShown="0" headerRowDxfId="50" headerRowBorderDxfId="68" tableBorderDxfId="69">
  <autoFilter ref="A1:T93" xr:uid="{7CC23EF7-7FE9-D14B-AF20-A3E2E27AFC0E}"/>
  <tableColumns count="20">
    <tableColumn id="1" xr3:uid="{E9D35821-54E3-1247-9B31-51FBE11F9901}" name="PROVNAME"/>
    <tableColumn id="2" xr3:uid="{6F1602B3-9D9E-3F4D-88A1-43C60D92D3CA}" name="CITY"/>
    <tableColumn id="3" xr3:uid="{512A8CFA-D812-4A4F-9A20-1EC36E48C543}" name="COUNTY_NAME"/>
    <tableColumn id="4" xr3:uid="{1F47A81C-B779-EE48-8BF1-276F5F3825ED}" name="MDScensus" dataDxfId="67"/>
    <tableColumn id="5" xr3:uid="{3BDD1349-04B3-FC4E-A5C4-095A3D1E917C}" name="Total Nurse Staff HPRD" dataDxfId="66"/>
    <tableColumn id="6" xr3:uid="{51FB404C-4B2E-914D-9D4F-D0B72F6B8EC2}" name="Nursing Case-Mix Index" dataDxfId="65"/>
    <tableColumn id="7" xr3:uid="{DD0F4A37-E7ED-3A46-87EC-E9B027AFCD43}" name="Expected Total Nurse Staff HPRD" dataDxfId="64"/>
    <tableColumn id="8" xr3:uid="{422A0CBC-7F12-E249-8F3C-8BC0CCD82301}" name="% Deviation From Total Expected Nurse HPRD" dataDxfId="63" dataCellStyle="Percent"/>
    <tableColumn id="9" xr3:uid="{3AF03BE6-2047-8344-A1B9-52214DAFC01E}" name="Total Nurse Care Staff HPRD (excl. Admin/DON)" dataDxfId="62"/>
    <tableColumn id="10" xr3:uid="{75B53FA2-3A0B-6D44-A499-551001CF0653}" name="Total RN Staff HPRD" dataDxfId="61"/>
    <tableColumn id="11" xr3:uid="{DF533CF0-2F72-D842-A969-9E8441BFBA13}" name="Expected Total RN HPRD" dataDxfId="60"/>
    <tableColumn id="12" xr3:uid="{E4447496-EEB7-2A4C-BA87-05B8DD444193}" name="% Deviation From Total Expected RN HPRD" dataDxfId="59"/>
    <tableColumn id="13" xr3:uid="{327BC07D-6969-0D4B-9B38-6EF0725BF85F}" name="Total RN Care Staff HPRD (excl. Admin/DON)" dataDxfId="58"/>
    <tableColumn id="14" xr3:uid="{F898CD48-4193-454D-A68B-8CE7830B1315}" name="Total LPN HPRD (w/ Admin)" dataDxfId="57"/>
    <tableColumn id="15" xr3:uid="{BC350DAF-03BD-0D42-B7A8-3E3B74F691FC}" name="Total Nurse Aide HPRD (CNA, NA TR, MedAide)" dataDxfId="56"/>
    <tableColumn id="16" xr3:uid="{2E4A5930-99E4-B44C-B8A9-FC97BE58A390}" name="Expected Nurse Aide HPRD" dataDxfId="55"/>
    <tableColumn id="17" xr3:uid="{B72F0962-BCA4-B04D-AFA9-8DE72129674D}" name="% Deviation From Total Nurse Aide HPRD" dataDxfId="54" dataCellStyle="Percent"/>
    <tableColumn id="18" xr3:uid="{2134181C-7055-3144-93CA-BCE4A56BB393}" name="Total Nurse Staff Hours" dataDxfId="53"/>
    <tableColumn id="19" xr3:uid="{FC42CED3-372B-9746-908B-4E3B66948EE2}" name="Total Contract Hours" dataDxfId="52"/>
    <tableColumn id="20" xr3:uid="{DCAEB825-8C74-C44C-870F-533C94964BB2}" name="% Total Nurse Contract" dataDxfId="51" dataCellStyle="Percent"/>
  </tableColumns>
  <tableStyleInfo name="TableStyleMedium16"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FF052E53-907A-A743-B441-D00457067615}" name="Summary4" displayName="Summary4" ref="B2:D16" totalsRowShown="0" headerRowDxfId="49" dataDxfId="48" tableBorderDxfId="47">
  <autoFilter ref="B2:D16" xr:uid="{1ED771D8-DBF2-4B5C-9F7D-A59FBB047463}"/>
  <tableColumns count="3">
    <tableColumn id="1" xr3:uid="{E760056C-108D-6243-B323-72E2AAD45F68}" name="National - Q1 2025" dataDxfId="46"/>
    <tableColumn id="2" xr3:uid="{E222A25A-1EF6-EC43-8A50-4EF2632CE3B6}" name="US Average" dataDxfId="45" dataCellStyle="Normal 2 2"/>
    <tableColumn id="3" xr3:uid="{ABB9B909-DA1E-2243-882E-A97299CABAEE}" name="Median" dataDxfId="44"/>
  </tableColumns>
  <tableStyleInfo name="TableStyleMedium16"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 xr:uid="{2B44960B-3A26-6241-A320-A5F9006E837F}" name="CMSRegion9" displayName="CMSRegion9" ref="F2:S12" totalsRowShown="0" headerRowDxfId="43" dataDxfId="42">
  <autoFilter ref="F2:S12" xr:uid="{8DA5A7B1-12B2-4B6A-ACD1-897DD9C7A713}"/>
  <tableColumns count="14">
    <tableColumn id="1" xr3:uid="{244D13A0-80F2-4040-82A6-605D2FABCFC4}" name="CMS Region Number" dataDxfId="41"/>
    <tableColumn id="2" xr3:uid="{17641D4A-C79A-AE4B-A961-75C2D4DC59B9}" name="Total Census" dataDxfId="40">
      <calculatedColumnFormula>SUMIF([1]!Nurse[CMS Region Number], CMSRegion9[[#This Row],[CMS Region Number]], [1]!Nurse[MDScensus])</calculatedColumnFormula>
    </tableColumn>
    <tableColumn id="8" xr3:uid="{AFFC3119-BC4F-2341-8487-DB4D173391CE}" name="Providers" dataDxfId="39">
      <calculatedColumnFormula>COUNTIF([1]!Nurse[CMS Region Number], CMSRegion9[[#This Row],[CMS Region Number]])</calculatedColumnFormula>
    </tableColumn>
    <tableColumn id="7" xr3:uid="{D3E5A830-7081-254E-8B8E-F60D98691435}" name="Total Nurse Staff HPRD" dataDxfId="38">
      <calculatedColumnFormula>SUMIF([1]!Nurse[CMS Region Number], CMSRegion9[[#This Row],[CMS Region Number]], [1]!Nurse[Total Nurse Staff Hours])/SUMIF([1]!Nurse[CMS Region Number], CMSRegion9[[#This Row],[CMS Region Number]], [1]!Nurse[MDScensus])</calculatedColumnFormula>
    </tableColumn>
    <tableColumn id="3" xr3:uid="{152F8F9B-4329-8541-9249-A67B55195F94}" name="Rank: Total Nurse Staff HPRD" dataDxfId="37">
      <calculatedColumnFormula>RANK(CMSRegion9[[#This Row],[Total Nurse Staff HPRD]], CMSRegion9[Total Nurse Staff HPRD])</calculatedColumnFormula>
    </tableColumn>
    <tableColumn id="14" xr3:uid="{AB8A7F9C-684A-014F-8F0F-7AEEC8BDF86A}" name="Expected Total Nurse Staff HPRD" dataDxfId="36">
      <calculatedColumnFormula array="1">SUMPRODUCT(
   ([1]!Nurse[CMS Region Number]=CMSRegion9[[#This Row],[CMS Region Number]]) *
   ([1]!Nurse[Expected Total Nurse Staff HPRD]) *
   ([1]!Nurse[MDScensus])
 ) /
 SUMIFS([1]!Nurse[MDScensus], [1]!Nurse[CMS Region Number], CMSRegion9[[#This Row],[CMS Region Number]], [1]!Nurse[Expected Total Nurse Staff HPRD], "&gt;0")</calculatedColumnFormula>
    </tableColumn>
    <tableColumn id="13" xr3:uid="{E7622F33-073D-A845-BF3B-C9B9EFAA85D8}" name="Percent Deviation From Expected Nurse Staffing" dataDxfId="35" dataCellStyle="Percent">
      <calculatedColumnFormula>IF(CMSRegion9[[#This Row],[Expected Total Nurse Staff HPRD]]&lt;&gt;0,
   (CMSRegion9[[#This Row],[Total Nurse Staff HPRD]] - CMSRegion9[[#This Row],[Expected Total Nurse Staff HPRD]]) /
   ABS(CMSRegion9[[#This Row],[Expected Total Nurse Staff HPRD]]),
   "")</calculatedColumnFormula>
    </tableColumn>
    <tableColumn id="4" xr3:uid="{E34C57D2-62DD-4148-B28D-648FD54161FF}" name="% Providers ≥ 4.1 HPRD" dataDxfId="34" dataCellStyle="Percent">
      <calculatedColumnFormula>COUNTIFS([1]!Nurse[Total Nurse Staff HPRD], "&gt;=4.1", [1]!Nurse[CMS Region Number], CMSRegion9[[#This Row],[CMS Region Number]])/(COUNTIF([1]!Nurse[CMS Region Number], CMSRegion9[[#This Row],[CMS Region Number]]))</calculatedColumnFormula>
    </tableColumn>
    <tableColumn id="12" xr3:uid="{8C5A8A04-CB32-3D46-8A6E-7D4BD631FADF}" name="% NHs ≥ 3.48 HPRD" dataDxfId="33" dataCellStyle="Percent">
      <calculatedColumnFormula>COUNTIFS([1]!Nurse[Total Nurse Staff HPRD], "&gt;=3.48", [1]!Nurse[CMS Region Number], CMSRegion9[[#This Row],[CMS Region Number]])/(COUNTIF([1]!Nurse[CMS Region Number], CMSRegion9[[#This Row],[CMS Region Number]]))</calculatedColumnFormula>
    </tableColumn>
    <tableColumn id="11" xr3:uid="{E75418EE-923F-994C-BE56-65B453ADDF66}" name="% NHs ≥ 0.75 Total RN" dataDxfId="32" dataCellStyle="Percent">
      <calculatedColumnFormula>COUNTIFS([1]!Nurse[Total RN Staff HPRD], "&gt;=0.75", [1]!Nurse[CMS Region Number], CMSRegion9[[#This Row],[CMS Region Number]])/(COUNTIF([1]!Nurse[CMS Region Number], CMSRegion9[[#This Row],[CMS Region Number]]))</calculatedColumnFormula>
    </tableColumn>
    <tableColumn id="5" xr3:uid="{302A1E77-64FB-1247-9151-BA40EA5F0D2C}" name="RN Staff HPRD" dataDxfId="31">
      <calculatedColumnFormula>SUMIF([1]!Nurse[CMS Region Number], CMSRegion9[[#This Row],[CMS Region Number]], [1]!Nurse[Total RN Hours (w/ Admin, DON)])/SUMIF([1]!Nurse[CMS Region Number], CMSRegion9[[#This Row],[CMS Region Number]], [1]!Nurse[MDScensus])</calculatedColumnFormula>
    </tableColumn>
    <tableColumn id="10" xr3:uid="{61CB74A6-DA89-F64A-8C51-24E2C9030884}" name="Rank: RN Staff HPRD" dataDxfId="30">
      <calculatedColumnFormula>RANK(CMSRegion9[[#This Row],[RN Staff HPRD]], CMSRegion9[RN Staff HPRD])</calculatedColumnFormula>
    </tableColumn>
    <tableColumn id="9" xr3:uid="{E6127039-69AD-1940-9543-0BC7BB4860E5}" name="% Contract" dataDxfId="29" dataCellStyle="Percent">
      <calculatedColumnFormula>SUMIF([1]!Nurse[CMS Region Number], CMSRegion9[[#This Row],[CMS Region Number]], [1]!Nurse[Total Contract Hours])/SUMIF([1]!Nurse[CMS Region Number], CMSRegion9[[#This Row],[CMS Region Number]], [1]!Nurse[Total Nurse Staff Hours])</calculatedColumnFormula>
    </tableColumn>
    <tableColumn id="6" xr3:uid="{22F7E38F-FFBA-8141-B2EC-9AACE285D686}" name="Rank: % Contract" dataDxfId="28">
      <calculatedColumnFormula>RANK(CMSRegion9[[#This Row],[% Contract]],CMSRegion9[% Contract])</calculatedColumnFormula>
    </tableColumn>
  </tableColumns>
  <tableStyleInfo name="TableStyleMedium17"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0DEFAAFC-E9AE-EF4D-9541-DD8B38652EB3}" name="State10" displayName="State10" ref="U2:AH54" totalsRowShown="0" headerRowDxfId="27" dataDxfId="26">
  <autoFilter ref="U2:AH54" xr:uid="{3A6DC66B-51AF-4021-A205-FEA1BCFE532F}"/>
  <sortState xmlns:xlrd2="http://schemas.microsoft.com/office/spreadsheetml/2017/richdata2" ref="U3:AH54">
    <sortCondition ref="U2:U54"/>
  </sortState>
  <tableColumns count="14">
    <tableColumn id="1" xr3:uid="{532CE2DA-4207-1047-A3BF-3B88D12E017B}" name="State" dataDxfId="25"/>
    <tableColumn id="2" xr3:uid="{6D8C1E92-CE93-D744-A786-2A7BC8E53ED2}" name="Total Census" dataDxfId="24">
      <calculatedColumnFormula>SUMIF([1]!Nurse[State], State10[[#This Row],[State]], [1]!Nurse[MDScensus])</calculatedColumnFormula>
    </tableColumn>
    <tableColumn id="10" xr3:uid="{044D43DB-28CA-744D-BCF9-01F5BADB4CF3}" name="Providers" dataDxfId="23">
      <calculatedColumnFormula>COUNTIF([1]!Nurse[State], State10[[#This Row],[State]])</calculatedColumnFormula>
    </tableColumn>
    <tableColumn id="4" xr3:uid="{17C843A5-B6FC-7645-8E55-40A9362EE18F}" name="Total Nurse Staff HPRD" dataDxfId="22">
      <calculatedColumnFormula>SUMIF([1]!Nurse[State], State10[[#This Row],[State]], [1]!Nurse[Total Nurse Staff Hours])/SUMIF([1]!Nurse[State], State10[[#This Row],[State]], [1]!Nurse[MDScensus])</calculatedColumnFormula>
    </tableColumn>
    <tableColumn id="3" xr3:uid="{F2DCA301-9406-4247-A8EC-87702C62D90C}" name="Rank: Total Nurse Staff HPRD" dataDxfId="21">
      <calculatedColumnFormula>RANK(State10[[#This Row],[Total Nurse Staff HPRD]], State10[Total Nurse Staff HPRD])</calculatedColumnFormula>
    </tableColumn>
    <tableColumn id="13" xr3:uid="{6A44DF2E-CD7B-0447-A492-286B6A1DDAD7}" name="Expected Total Nurse Staff HPRD" dataDxfId="20">
      <calculatedColumnFormula array="1">SUMPRODUCT(
   ([1]!Nurse[State]=State10[[#This Row],[State]]) *
   ([1]!Nurse[Expected Total Nurse Staff HPRD]) *
   ([1]!Nurse[MDScensus])
 ) /
 SUMIFS([1]!Nurse[MDScensus], [1]!Nurse[State], State10[[#This Row],[State]], [1]!Nurse[Expected Total Nurse Staff HPRD], "&gt;0")</calculatedColumnFormula>
    </tableColumn>
    <tableColumn id="14" xr3:uid="{73A92438-D335-FC4D-9EFC-BA40E85834D9}" name="Percent Deviation From Expected Nurse Staffing" dataDxfId="19" dataCellStyle="Percent">
      <calculatedColumnFormula>IF(State10[[#This Row],[Expected Total Nurse Staff HPRD]]&lt;&gt;0,
   (State10[[#This Row],[Total Nurse Staff HPRD]] - State10[[#This Row],[Expected Total Nurse Staff HPRD]]) /
   ABS(State10[[#This Row],[Expected Total Nurse Staff HPRD]]),
   "")</calculatedColumnFormula>
    </tableColumn>
    <tableColumn id="9" xr3:uid="{5ACD660E-89AC-6F49-B2FE-6DF61A10205B}" name="% Providers ≥ 4.1 HPRD" dataDxfId="18" dataCellStyle="Percent">
      <calculatedColumnFormula>COUNTIFS([1]!Nurse[Total Nurse Staff HPRD], "&gt;=4.1", [1]!Nurse[State], State10[[#This Row],[State]])/(COUNTIF([1]!Nurse[State], State10[[#This Row],[State]]))</calculatedColumnFormula>
    </tableColumn>
    <tableColumn id="12" xr3:uid="{20E142C6-B80A-5D4E-AC68-332B74B91E2D}" name="% NHs ≥ 3.48 HPRD" dataDxfId="17" dataCellStyle="Percent">
      <calculatedColumnFormula>COUNTIFS([1]!Nurse[Total Nurse Staff HPRD], "&gt;=3.48", [1]!Nurse[State], State10[[#This Row],[State]])/(COUNTIF([1]!Nurse[State], State10[[#This Row],[State]]))</calculatedColumnFormula>
    </tableColumn>
    <tableColumn id="11" xr3:uid="{4328B3F5-5C02-A74E-A3DB-8E694BAEFC90}" name="% NHs ≥ 0.75 Total RN" dataDxfId="16" dataCellStyle="Percent">
      <calculatedColumnFormula>COUNTIFS([1]!Nurse[Total RN Staff HPRD], "&gt;=0.75", [1]!Nurse[State], State10[[#This Row],[State]])/(COUNTIF([1]!Nurse[State], State10[[#This Row],[State]]))</calculatedColumnFormula>
    </tableColumn>
    <tableColumn id="5" xr3:uid="{F1C8D50C-FA5E-9C48-8205-07DB76AAF83B}" name="RN Staff HPRD" dataDxfId="15">
      <calculatedColumnFormula>SUMIF([1]!Nurse[State], State10[[#This Row],[State]], [1]!Nurse[Total RN Hours (w/ Admin, DON)])/SUMIF([1]!Nurse[State], State10[[#This Row],[State]], [1]!Nurse[MDScensus])</calculatedColumnFormula>
    </tableColumn>
    <tableColumn id="8" xr3:uid="{92407391-DC6B-F144-B099-CEF8DB6B5B2E}" name="Rank: RN Staff HPRD" dataDxfId="14">
      <calculatedColumnFormula>RANK(State10[[#This Row],[RN Staff HPRD]], State10[RN Staff HPRD])</calculatedColumnFormula>
    </tableColumn>
    <tableColumn id="7" xr3:uid="{6B937572-254E-7B48-AD5F-16842A96209B}" name="% Contract" dataDxfId="13" dataCellStyle="Percent">
      <calculatedColumnFormula>SUMIF([1]!Nurse[State], State10[[#This Row],[State]], [1]!Nurse[Total Contract Hours])/SUMIF([1]!Nurse[State], State10[[#This Row],[State]], [1]!Nurse[Total Nurse Staff Hours])</calculatedColumnFormula>
    </tableColumn>
    <tableColumn id="6" xr3:uid="{DA1FFA47-49A9-374B-9C32-0241773B0824}" name="Rank: % Contract" dataDxfId="12">
      <calculatedColumnFormula>RANK(State10[[#This Row],[% Contract]],State10[% Contract])</calculatedColumnFormula>
    </tableColumn>
  </tableColumns>
  <tableStyleInfo name="TableStyleMedium19"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4F4B5219-3D6B-8C48-B47A-199A21DA1A76}" name="Category11" displayName="Category11" ref="AJ2:AM15" totalsRowShown="0" headerRowDxfId="11" dataDxfId="10">
  <autoFilter ref="AJ2:AM15" xr:uid="{565E5F01-F55D-4423-8221-FE9537902289}"/>
  <tableColumns count="4">
    <tableColumn id="1" xr3:uid="{2A8E407C-299F-D043-A162-C8718B3E0E3D}" name="Staffing Category" dataDxfId="9"/>
    <tableColumn id="2" xr3:uid="{F929F53C-55A8-DB49-9DAB-28ECB19A5BC5}" name="US Total" dataDxfId="8"/>
    <tableColumn id="3" xr3:uid="{1BE85D6D-5AA4-A543-B36F-10DCEBE7B858}" name="Percentage of Total" dataDxfId="7">
      <calculatedColumnFormula>Category11[[#This Row],[US Total]]/AK1</calculatedColumnFormula>
    </tableColumn>
    <tableColumn id="4" xr3:uid="{2DD6E801-DD7F-5A48-B118-1776360134A7}" name="HPRD" dataDxfId="6">
      <calculatedColumnFormula>Category11[[#This Row],[US Total]]/SUM([1]!Nurse[MDScensus])</calculatedColumnFormula>
    </tableColumn>
  </tableColumns>
  <tableStyleInfo name="TableStyleMedium1"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4E711E1B-6983-294B-B699-28382DCEE195}" name="ContractSummary12" displayName="ContractSummary12" ref="AJ18:AM27" totalsRowShown="0" headerRowDxfId="5" dataDxfId="4">
  <autoFilter ref="AJ18:AM27" xr:uid="{611C2622-9CCC-48CE-821F-F51D1E505E95}"/>
  <tableColumns count="4">
    <tableColumn id="1" xr3:uid="{2AB7941B-C580-614E-88E4-2FBEF7F6B781}" name="Contract Hours by Position" dataDxfId="3"/>
    <tableColumn id="2" xr3:uid="{92CCB6A3-0D88-BC49-AE2C-5639BC328B59}" name="% Contract Hours" dataDxfId="2" dataCellStyle="Percent">
      <calculatedColumnFormula>ContractSummary12[[#This Row],[Contract Hours2]]/ContractSummary12[[#This Row],[Total Hours]]</calculatedColumnFormula>
    </tableColumn>
    <tableColumn id="3" xr3:uid="{B80CAE92-2B54-F646-B255-C83349184826}" name="Contract Hours2" dataDxfId="1"/>
    <tableColumn id="4" xr3:uid="{DB887D3F-A976-0045-8F90-9E4192BD5D9C}" name="Total Hours" dataDxfId="0"/>
  </tableColumns>
  <tableStyleInfo name="TableStyleMedium1"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3" Type="http://schemas.openxmlformats.org/officeDocument/2006/relationships/table" Target="../tables/table2.xml"/><Relationship Id="rId7" Type="http://schemas.openxmlformats.org/officeDocument/2006/relationships/table" Target="../tables/table6.xml"/><Relationship Id="rId2" Type="http://schemas.openxmlformats.org/officeDocument/2006/relationships/drawing" Target="../drawings/drawing2.xml"/><Relationship Id="rId1" Type="http://schemas.openxmlformats.org/officeDocument/2006/relationships/printerSettings" Target="../printerSettings/printerSettings1.bin"/><Relationship Id="rId6" Type="http://schemas.openxmlformats.org/officeDocument/2006/relationships/table" Target="../tables/table5.xml"/><Relationship Id="rId5" Type="http://schemas.openxmlformats.org/officeDocument/2006/relationships/table" Target="../tables/table4.xml"/><Relationship Id="rId4" Type="http://schemas.openxmlformats.org/officeDocument/2006/relationships/table" Target="../tables/table3.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1380C0-EE8C-9D4F-A3A5-CE527371CF43}">
  <dimension ref="A1:T93"/>
  <sheetViews>
    <sheetView tabSelected="1" zoomScale="118" workbookViewId="0">
      <pane xSplit="3" ySplit="1" topLeftCell="D2" activePane="bottomRight" state="frozen"/>
      <selection pane="topRight" activeCell="D1" sqref="D1"/>
      <selection pane="bottomLeft" activeCell="A2" sqref="A2"/>
      <selection pane="bottomRight" activeCell="D2" sqref="D2"/>
    </sheetView>
  </sheetViews>
  <sheetFormatPr baseColWidth="10" defaultRowHeight="16" x14ac:dyDescent="0.2"/>
  <cols>
    <col min="1" max="1" width="59" customWidth="1"/>
    <col min="2" max="2" width="20.6640625" customWidth="1"/>
    <col min="3" max="3" width="15.1640625" customWidth="1"/>
    <col min="4" max="4" width="12.5" customWidth="1"/>
    <col min="5" max="5" width="12.33203125" customWidth="1"/>
    <col min="6" max="6" width="12.6640625" customWidth="1"/>
    <col min="7" max="7" width="14.1640625" customWidth="1"/>
    <col min="8" max="8" width="12.83203125" customWidth="1"/>
    <col min="9" max="9" width="16.6640625" customWidth="1"/>
    <col min="10" max="10" width="10.83203125" customWidth="1"/>
    <col min="11" max="11" width="11.5" customWidth="1"/>
    <col min="12" max="12" width="12.5" customWidth="1"/>
    <col min="13" max="13" width="15.33203125" customWidth="1"/>
    <col min="14" max="14" width="11.33203125" customWidth="1"/>
    <col min="15" max="15" width="15.1640625" customWidth="1"/>
    <col min="16" max="16" width="12.1640625" customWidth="1"/>
    <col min="17" max="17" width="12.6640625" customWidth="1"/>
    <col min="18" max="18" width="12" customWidth="1"/>
    <col min="19" max="19" width="11.1640625" customWidth="1"/>
    <col min="20" max="20" width="11.5" customWidth="1"/>
  </cols>
  <sheetData>
    <row r="1" spans="1:20" ht="182" customHeight="1" thickBot="1" x14ac:dyDescent="0.25">
      <c r="A1" s="10" t="s">
        <v>0</v>
      </c>
      <c r="B1" s="10" t="s">
        <v>1</v>
      </c>
      <c r="C1" s="10" t="s">
        <v>2</v>
      </c>
      <c r="D1" s="10" t="s">
        <v>3</v>
      </c>
      <c r="E1" s="10" t="s">
        <v>4</v>
      </c>
      <c r="F1" s="10" t="s">
        <v>5</v>
      </c>
      <c r="G1" s="10" t="s">
        <v>6</v>
      </c>
      <c r="H1" s="10" t="s">
        <v>7</v>
      </c>
      <c r="I1" s="10" t="s">
        <v>8</v>
      </c>
      <c r="J1" s="10" t="s">
        <v>9</v>
      </c>
      <c r="K1" s="10" t="s">
        <v>10</v>
      </c>
      <c r="L1" s="10" t="s">
        <v>11</v>
      </c>
      <c r="M1" s="10" t="s">
        <v>12</v>
      </c>
      <c r="N1" s="10" t="s">
        <v>13</v>
      </c>
      <c r="O1" s="10" t="s">
        <v>14</v>
      </c>
      <c r="P1" s="10" t="s">
        <v>15</v>
      </c>
      <c r="Q1" s="10" t="s">
        <v>16</v>
      </c>
      <c r="R1" s="10" t="s">
        <v>17</v>
      </c>
      <c r="S1" s="10" t="s">
        <v>18</v>
      </c>
      <c r="T1" s="11" t="s">
        <v>19</v>
      </c>
    </row>
    <row r="2" spans="1:20" x14ac:dyDescent="0.2">
      <c r="A2" s="1" t="s">
        <v>20</v>
      </c>
      <c r="B2" s="1" t="s">
        <v>21</v>
      </c>
      <c r="C2" s="1" t="s">
        <v>22</v>
      </c>
      <c r="D2" s="2">
        <v>137.01111111111101</v>
      </c>
      <c r="E2" s="2">
        <v>3.1383180601735399</v>
      </c>
      <c r="F2" s="2">
        <v>1.52268</v>
      </c>
      <c r="G2" s="2">
        <v>5.1709824318540898</v>
      </c>
      <c r="H2" s="3">
        <v>-0.39309055841284601</v>
      </c>
      <c r="I2" s="2">
        <v>2.7086570432243899</v>
      </c>
      <c r="J2" s="2">
        <v>0.55628497283269795</v>
      </c>
      <c r="K2" s="2">
        <v>1.08319376634048</v>
      </c>
      <c r="L2" s="4">
        <v>-0.48644001644130502</v>
      </c>
      <c r="M2" s="2">
        <v>0.19542048495661299</v>
      </c>
      <c r="N2" s="2">
        <v>0.55190819884843001</v>
      </c>
      <c r="O2" s="2">
        <v>2.0301248884924101</v>
      </c>
      <c r="P2" s="2">
        <v>3.3017694750036402</v>
      </c>
      <c r="Q2" s="3">
        <v>-0.385140330401116</v>
      </c>
      <c r="R2" s="2">
        <v>429.98444444444402</v>
      </c>
      <c r="S2" s="2">
        <v>45.782111111111099</v>
      </c>
      <c r="T2" s="8">
        <v>10.6473877607975</v>
      </c>
    </row>
    <row r="3" spans="1:20" x14ac:dyDescent="0.2">
      <c r="A3" t="s">
        <v>23</v>
      </c>
      <c r="B3" t="s">
        <v>24</v>
      </c>
      <c r="C3" t="s">
        <v>25</v>
      </c>
      <c r="D3" s="5">
        <v>112.411111111111</v>
      </c>
      <c r="E3" s="5">
        <v>4.8195759612533298</v>
      </c>
      <c r="F3" s="5">
        <v>2.2286100000000002</v>
      </c>
      <c r="G3" s="5">
        <v>6.0364396027581497</v>
      </c>
      <c r="H3" s="6">
        <v>-0.201586319351031</v>
      </c>
      <c r="I3" s="5">
        <v>4.7766778689334704</v>
      </c>
      <c r="J3" s="5">
        <v>1.80767520015814</v>
      </c>
      <c r="K3" s="5">
        <v>1.4859766819482001</v>
      </c>
      <c r="L3" s="7">
        <v>0.216489613947493</v>
      </c>
      <c r="M3" s="5">
        <v>1.7647771078382899</v>
      </c>
      <c r="N3" s="5">
        <v>0.43725906889394001</v>
      </c>
      <c r="O3" s="5">
        <v>2.5746416922012401</v>
      </c>
      <c r="P3" s="5">
        <v>3.4262276046528801</v>
      </c>
      <c r="Q3" s="6">
        <v>-0.24854913645992699</v>
      </c>
      <c r="R3" s="5">
        <v>541.773888888888</v>
      </c>
      <c r="S3" s="5">
        <v>195.02666666666599</v>
      </c>
      <c r="T3" s="9">
        <v>35.997797359086803</v>
      </c>
    </row>
    <row r="4" spans="1:20" x14ac:dyDescent="0.2">
      <c r="A4" s="1" t="s">
        <v>26</v>
      </c>
      <c r="B4" s="1" t="s">
        <v>27</v>
      </c>
      <c r="C4" s="1" t="s">
        <v>25</v>
      </c>
      <c r="D4" s="2">
        <v>187.56666666666601</v>
      </c>
      <c r="E4" s="2">
        <v>3.6196789289733999</v>
      </c>
      <c r="F4" s="2">
        <v>1.37256</v>
      </c>
      <c r="G4" s="2">
        <v>4.9646727219237201</v>
      </c>
      <c r="H4" s="3">
        <v>-0.270912881530116</v>
      </c>
      <c r="I4" s="2">
        <v>3.38616136484805</v>
      </c>
      <c r="J4" s="2">
        <v>0.79579408802796003</v>
      </c>
      <c r="K4" s="2">
        <v>0.99663249781705199</v>
      </c>
      <c r="L4" s="4">
        <v>-0.20151701878976699</v>
      </c>
      <c r="M4" s="2">
        <v>0.56227652390261196</v>
      </c>
      <c r="N4" s="2">
        <v>0.64822877791599998</v>
      </c>
      <c r="O4" s="2">
        <v>2.1756560630294399</v>
      </c>
      <c r="P4" s="2">
        <v>3.2659730717863802</v>
      </c>
      <c r="Q4" s="3">
        <v>-0.33384139574689597</v>
      </c>
      <c r="R4" s="2">
        <v>678.93111111111102</v>
      </c>
      <c r="S4" s="2">
        <v>86.172777777777696</v>
      </c>
      <c r="T4" s="8">
        <v>12.692418474791999</v>
      </c>
    </row>
    <row r="5" spans="1:20" x14ac:dyDescent="0.2">
      <c r="A5" t="s">
        <v>28</v>
      </c>
      <c r="B5" t="s">
        <v>29</v>
      </c>
      <c r="C5" t="s">
        <v>25</v>
      </c>
      <c r="D5" s="5">
        <v>55.8</v>
      </c>
      <c r="E5" s="5">
        <v>4.0684488251692503</v>
      </c>
      <c r="F5" s="5">
        <v>1.5205599999999999</v>
      </c>
      <c r="G5" s="5">
        <v>5.1681405090830701</v>
      </c>
      <c r="H5" s="6">
        <v>-0.212782853326278</v>
      </c>
      <c r="I5" s="5">
        <v>3.8849561927518899</v>
      </c>
      <c r="J5" s="5">
        <v>0.864247311827957</v>
      </c>
      <c r="K5" s="5">
        <v>1.0819741141185899</v>
      </c>
      <c r="L5" s="7">
        <v>-0.201231064079576</v>
      </c>
      <c r="M5" s="5">
        <v>0.68075467941059298</v>
      </c>
      <c r="N5" s="5">
        <v>0.736310234966148</v>
      </c>
      <c r="O5" s="5">
        <v>2.4678912783751401</v>
      </c>
      <c r="P5" s="5">
        <v>3.3012968479513498</v>
      </c>
      <c r="Q5" s="6">
        <v>-0.25244793423935102</v>
      </c>
      <c r="R5" s="5">
        <v>227.01944444444399</v>
      </c>
      <c r="S5" s="5">
        <v>31.9444444444444</v>
      </c>
      <c r="T5" s="9">
        <v>14.0712371676434</v>
      </c>
    </row>
    <row r="6" spans="1:20" x14ac:dyDescent="0.2">
      <c r="A6" s="1" t="s">
        <v>30</v>
      </c>
      <c r="B6" s="1" t="s">
        <v>31</v>
      </c>
      <c r="C6" s="1" t="s">
        <v>25</v>
      </c>
      <c r="D6" s="2">
        <v>35.544444444444402</v>
      </c>
      <c r="E6" s="2">
        <v>3.3223569865583</v>
      </c>
      <c r="F6" s="2">
        <v>1.3372999999999999</v>
      </c>
      <c r="G6" s="2">
        <v>4.9145720690332704</v>
      </c>
      <c r="H6" s="3">
        <v>-0.32397837697966098</v>
      </c>
      <c r="I6" s="2">
        <v>3.1840325101594198</v>
      </c>
      <c r="J6" s="2">
        <v>0.94569552985307903</v>
      </c>
      <c r="K6" s="2">
        <v>0.97623877867126296</v>
      </c>
      <c r="L6" s="4">
        <v>-3.1286658024131699E-2</v>
      </c>
      <c r="M6" s="2">
        <v>0.80737105345420401</v>
      </c>
      <c r="N6" s="2">
        <v>0.40628008752735201</v>
      </c>
      <c r="O6" s="2">
        <v>1.97038136917786</v>
      </c>
      <c r="P6" s="2">
        <v>3.2567824980067002</v>
      </c>
      <c r="Q6" s="3">
        <v>-0.39499141548941902</v>
      </c>
      <c r="R6" s="2">
        <v>118.091333333333</v>
      </c>
      <c r="S6" s="2">
        <v>11.544222222222199</v>
      </c>
      <c r="T6" s="8">
        <v>9.7756726902529198</v>
      </c>
    </row>
    <row r="7" spans="1:20" x14ac:dyDescent="0.2">
      <c r="A7" t="s">
        <v>32</v>
      </c>
      <c r="B7" t="s">
        <v>33</v>
      </c>
      <c r="C7" t="s">
        <v>25</v>
      </c>
      <c r="D7" s="5">
        <v>112.9</v>
      </c>
      <c r="E7" s="5">
        <v>3.16409014860742</v>
      </c>
      <c r="F7" s="5">
        <v>1.48122</v>
      </c>
      <c r="G7" s="5">
        <v>5.1150521500233497</v>
      </c>
      <c r="H7" s="6">
        <v>-0.38141585739395101</v>
      </c>
      <c r="I7" s="5">
        <v>2.99776301545123</v>
      </c>
      <c r="J7" s="5">
        <v>0.40368467670504798</v>
      </c>
      <c r="K7" s="5">
        <v>1.0593277416807001</v>
      </c>
      <c r="L7" s="7">
        <v>-0.61892371848529903</v>
      </c>
      <c r="M7" s="5">
        <v>0.23735754354886299</v>
      </c>
      <c r="N7" s="5">
        <v>0.87064954236787695</v>
      </c>
      <c r="O7" s="5">
        <v>1.8897559295344899</v>
      </c>
      <c r="P7" s="5">
        <v>3.2923682577200002</v>
      </c>
      <c r="Q7" s="6">
        <v>-0.42601927196225398</v>
      </c>
      <c r="R7" s="5">
        <v>357.22577777777701</v>
      </c>
      <c r="S7" s="5">
        <v>60.531999999999996</v>
      </c>
      <c r="T7" s="9">
        <v>16.945025741578899</v>
      </c>
    </row>
    <row r="8" spans="1:20" x14ac:dyDescent="0.2">
      <c r="A8" s="1" t="s">
        <v>34</v>
      </c>
      <c r="B8" s="1" t="s">
        <v>35</v>
      </c>
      <c r="C8" s="1" t="s">
        <v>36</v>
      </c>
      <c r="D8" s="2">
        <v>98.966666666666598</v>
      </c>
      <c r="E8" s="2">
        <v>3.4169630627596201</v>
      </c>
      <c r="F8" s="2">
        <v>1.5021199999999999</v>
      </c>
      <c r="G8" s="2">
        <v>5.1433401676241504</v>
      </c>
      <c r="H8" s="3">
        <v>-0.33565291203789599</v>
      </c>
      <c r="I8" s="2">
        <v>3.3576636353429801</v>
      </c>
      <c r="J8" s="2">
        <v>0.38528460761199002</v>
      </c>
      <c r="K8" s="2">
        <v>1.07136226623718</v>
      </c>
      <c r="L8" s="4">
        <v>-0.64037877779177499</v>
      </c>
      <c r="M8" s="2">
        <v>0.325985180195352</v>
      </c>
      <c r="N8" s="2">
        <v>0.80800830807230195</v>
      </c>
      <c r="O8" s="2">
        <v>2.22367014707533</v>
      </c>
      <c r="P8" s="2">
        <v>3.2971496142302898</v>
      </c>
      <c r="Q8" s="3">
        <v>-0.32557802731240598</v>
      </c>
      <c r="R8" s="2">
        <v>338.16544444444401</v>
      </c>
      <c r="S8" s="2">
        <v>20.294555555555501</v>
      </c>
      <c r="T8" s="8">
        <v>6.00136882374143</v>
      </c>
    </row>
    <row r="9" spans="1:20" x14ac:dyDescent="0.2">
      <c r="A9" t="s">
        <v>37</v>
      </c>
      <c r="B9" t="s">
        <v>31</v>
      </c>
      <c r="C9" t="s">
        <v>25</v>
      </c>
      <c r="D9" s="5">
        <v>143.52222222222201</v>
      </c>
      <c r="E9" s="5">
        <v>3.1868553069598198</v>
      </c>
      <c r="F9" s="5">
        <v>1.4589700000000001</v>
      </c>
      <c r="G9" s="5">
        <v>5.0847212600642102</v>
      </c>
      <c r="H9" s="6">
        <v>-0.37324876940853602</v>
      </c>
      <c r="I9" s="5">
        <v>3.0393945962684801</v>
      </c>
      <c r="J9" s="5">
        <v>0.767012464194472</v>
      </c>
      <c r="K9" s="5">
        <v>1.04650749769606</v>
      </c>
      <c r="L9" s="7">
        <v>-0.2670740860595</v>
      </c>
      <c r="M9" s="5">
        <v>0.61955175350313496</v>
      </c>
      <c r="N9" s="5">
        <v>0.43467755670821401</v>
      </c>
      <c r="O9" s="5">
        <v>1.9851652860571301</v>
      </c>
      <c r="P9" s="5">
        <v>3.2871796258521702</v>
      </c>
      <c r="Q9" s="6">
        <v>-0.39608858900051802</v>
      </c>
      <c r="R9" s="5">
        <v>457.38455555555498</v>
      </c>
      <c r="S9" s="5">
        <v>98.167888888888797</v>
      </c>
      <c r="T9" s="9">
        <v>21.462877942970898</v>
      </c>
    </row>
    <row r="10" spans="1:20" x14ac:dyDescent="0.2">
      <c r="A10" s="1" t="s">
        <v>38</v>
      </c>
      <c r="B10" s="1" t="s">
        <v>39</v>
      </c>
      <c r="C10" s="1" t="s">
        <v>25</v>
      </c>
      <c r="D10" s="2">
        <v>115.555555555555</v>
      </c>
      <c r="E10" s="2">
        <v>3.2779807692307599</v>
      </c>
      <c r="F10" s="2">
        <v>1.6754</v>
      </c>
      <c r="G10" s="2">
        <v>5.3710377804650804</v>
      </c>
      <c r="H10" s="3">
        <v>-0.389693220711822</v>
      </c>
      <c r="I10" s="2">
        <v>3.1102884615384601</v>
      </c>
      <c r="J10" s="2">
        <v>0.56259615384615302</v>
      </c>
      <c r="K10" s="2">
        <v>1.17086876793562</v>
      </c>
      <c r="L10" s="4">
        <v>-0.51950537135081698</v>
      </c>
      <c r="M10" s="2">
        <v>0.39490384615384599</v>
      </c>
      <c r="N10" s="2">
        <v>0.76512019230769202</v>
      </c>
      <c r="O10" s="2">
        <v>1.9502644230769199</v>
      </c>
      <c r="P10" s="2">
        <v>3.3337835955908899</v>
      </c>
      <c r="Q10" s="3">
        <v>-0.41499969414443799</v>
      </c>
      <c r="R10" s="2">
        <v>378.78888888888798</v>
      </c>
      <c r="S10" s="2">
        <v>20.7138888888888</v>
      </c>
      <c r="T10" s="8">
        <v>5.4684520841277697</v>
      </c>
    </row>
    <row r="11" spans="1:20" x14ac:dyDescent="0.2">
      <c r="A11" t="s">
        <v>40</v>
      </c>
      <c r="B11" t="s">
        <v>29</v>
      </c>
      <c r="C11" t="s">
        <v>25</v>
      </c>
      <c r="D11" s="5">
        <v>189.266666666666</v>
      </c>
      <c r="E11" s="5">
        <v>4.0041922038276301</v>
      </c>
      <c r="F11" s="5">
        <v>2.1536300000000002</v>
      </c>
      <c r="G11" s="5">
        <v>5.9506200536287697</v>
      </c>
      <c r="H11" s="6">
        <v>-0.327096644090757</v>
      </c>
      <c r="I11" s="5">
        <v>3.8952453915698002</v>
      </c>
      <c r="J11" s="5">
        <v>1.15082893037454</v>
      </c>
      <c r="K11" s="5">
        <v>1.44345962191503</v>
      </c>
      <c r="L11" s="7">
        <v>-0.20272869922904699</v>
      </c>
      <c r="M11" s="5">
        <v>1.0642620641070799</v>
      </c>
      <c r="N11" s="5">
        <v>0.44458025126218098</v>
      </c>
      <c r="O11" s="5">
        <v>2.4087830221909101</v>
      </c>
      <c r="P11" s="5">
        <v>3.4152898110135199</v>
      </c>
      <c r="Q11" s="6">
        <v>-0.29470611412737502</v>
      </c>
      <c r="R11" s="5">
        <v>757.860111111111</v>
      </c>
      <c r="S11" s="5">
        <v>0</v>
      </c>
      <c r="T11" s="9">
        <v>0</v>
      </c>
    </row>
    <row r="12" spans="1:20" x14ac:dyDescent="0.2">
      <c r="A12" s="1" t="s">
        <v>41</v>
      </c>
      <c r="B12" s="1" t="s">
        <v>24</v>
      </c>
      <c r="C12" s="1" t="s">
        <v>25</v>
      </c>
      <c r="D12" s="2">
        <v>166.6</v>
      </c>
      <c r="E12" s="2">
        <v>10.587200213418701</v>
      </c>
      <c r="F12" s="2">
        <v>2.9883000000000002</v>
      </c>
      <c r="G12" s="2">
        <v>6.8513690739527497</v>
      </c>
      <c r="H12" s="3">
        <v>0.54526782882981195</v>
      </c>
      <c r="I12" s="2">
        <v>9.8197178871548605</v>
      </c>
      <c r="J12" s="2">
        <v>5.7791396558623402</v>
      </c>
      <c r="K12" s="2">
        <v>1.91418902076458</v>
      </c>
      <c r="L12" s="4">
        <v>2.0191060512686301</v>
      </c>
      <c r="M12" s="2">
        <v>5.0116573295985001</v>
      </c>
      <c r="N12" s="2">
        <v>0.36991463251967399</v>
      </c>
      <c r="O12" s="2">
        <v>4.4381459250366797</v>
      </c>
      <c r="P12" s="2">
        <v>3.5195576852536901</v>
      </c>
      <c r="Q12" s="3">
        <v>0.26099536417081598</v>
      </c>
      <c r="R12" s="2">
        <v>1763.8275555555499</v>
      </c>
      <c r="S12" s="2">
        <v>35.534444444444397</v>
      </c>
      <c r="T12" s="8">
        <v>2.0146212328138899</v>
      </c>
    </row>
    <row r="13" spans="1:20" x14ac:dyDescent="0.2">
      <c r="A13" t="s">
        <v>42</v>
      </c>
      <c r="B13" t="s">
        <v>43</v>
      </c>
      <c r="C13" t="s">
        <v>25</v>
      </c>
      <c r="D13" s="5">
        <v>145.63333333333301</v>
      </c>
      <c r="E13" s="5">
        <v>3.6996437018387098</v>
      </c>
      <c r="F13" s="5">
        <v>1.6405700000000001</v>
      </c>
      <c r="G13" s="5">
        <v>5.3261811453805503</v>
      </c>
      <c r="H13" s="6">
        <v>-0.30538530311770301</v>
      </c>
      <c r="I13" s="5">
        <v>3.6301388570992601</v>
      </c>
      <c r="J13" s="5">
        <v>0.51581063553826201</v>
      </c>
      <c r="K13" s="5">
        <v>1.1509041681727401</v>
      </c>
      <c r="L13" s="7">
        <v>-0.55182138547886195</v>
      </c>
      <c r="M13" s="5">
        <v>0.446305790798809</v>
      </c>
      <c r="N13" s="5">
        <v>0.92215991454947699</v>
      </c>
      <c r="O13" s="5">
        <v>2.2616731517509701</v>
      </c>
      <c r="P13" s="5">
        <v>3.3268103559803102</v>
      </c>
      <c r="Q13" s="6">
        <v>-0.32016769525639899</v>
      </c>
      <c r="R13" s="5">
        <v>538.79144444444398</v>
      </c>
      <c r="S13" s="5">
        <v>3.4055555555555501</v>
      </c>
      <c r="T13" s="9">
        <v>0.63207305733428498</v>
      </c>
    </row>
    <row r="14" spans="1:20" x14ac:dyDescent="0.2">
      <c r="A14" s="1" t="s">
        <v>44</v>
      </c>
      <c r="B14" s="1" t="s">
        <v>45</v>
      </c>
      <c r="C14" s="1" t="s">
        <v>46</v>
      </c>
      <c r="D14" s="2">
        <v>251.42222222222199</v>
      </c>
      <c r="E14" s="2">
        <v>3.2692173413469998</v>
      </c>
      <c r="F14" s="2">
        <v>1.2735099999999999</v>
      </c>
      <c r="G14" s="2">
        <v>4.8221065170637196</v>
      </c>
      <c r="H14" s="3">
        <v>-0.322035436218921</v>
      </c>
      <c r="I14" s="2">
        <v>3.1129176241824199</v>
      </c>
      <c r="J14" s="2">
        <v>0.40389163867774402</v>
      </c>
      <c r="K14" s="2">
        <v>0.93927646399531595</v>
      </c>
      <c r="L14" s="4">
        <v>-0.56999706246258197</v>
      </c>
      <c r="M14" s="2">
        <v>0.27291453066996602</v>
      </c>
      <c r="N14" s="2">
        <v>0.765863531907371</v>
      </c>
      <c r="O14" s="2">
        <v>2.0994621707618801</v>
      </c>
      <c r="P14" s="2">
        <v>3.2392390532877302</v>
      </c>
      <c r="Q14" s="3">
        <v>-0.35186562762911899</v>
      </c>
      <c r="R14" s="2">
        <v>821.95388888888795</v>
      </c>
      <c r="S14" s="2">
        <v>152.66455555555501</v>
      </c>
      <c r="T14" s="8">
        <v>18.5733722559456</v>
      </c>
    </row>
    <row r="15" spans="1:20" x14ac:dyDescent="0.2">
      <c r="A15" t="s">
        <v>47</v>
      </c>
      <c r="B15" t="s">
        <v>48</v>
      </c>
      <c r="C15" t="s">
        <v>46</v>
      </c>
      <c r="D15" s="5">
        <v>152</v>
      </c>
      <c r="E15" s="5">
        <v>3.5020906432748502</v>
      </c>
      <c r="F15" s="5">
        <v>1.5803199999999999</v>
      </c>
      <c r="G15" s="5">
        <v>5.2475412831827297</v>
      </c>
      <c r="H15" s="6">
        <v>-0.33262256468599499</v>
      </c>
      <c r="I15" s="5">
        <v>3.3819152046783598</v>
      </c>
      <c r="J15" s="5">
        <v>0.60453216374269003</v>
      </c>
      <c r="K15" s="5">
        <v>1.11632648621946</v>
      </c>
      <c r="L15" s="7">
        <v>-0.458462939645919</v>
      </c>
      <c r="M15" s="5">
        <v>0.48435672514619799</v>
      </c>
      <c r="N15" s="5">
        <v>1.0750840643274799</v>
      </c>
      <c r="O15" s="5">
        <v>1.8224744152046699</v>
      </c>
      <c r="P15" s="5">
        <v>3.3143061667718401</v>
      </c>
      <c r="Q15" s="6">
        <v>-0.45011887149225399</v>
      </c>
      <c r="R15" s="5">
        <v>532.317777777777</v>
      </c>
      <c r="S15" s="5">
        <v>0</v>
      </c>
      <c r="T15" s="9">
        <v>0</v>
      </c>
    </row>
    <row r="16" spans="1:20" x14ac:dyDescent="0.2">
      <c r="A16" s="1" t="s">
        <v>49</v>
      </c>
      <c r="B16" s="1" t="s">
        <v>50</v>
      </c>
      <c r="C16" s="1" t="s">
        <v>51</v>
      </c>
      <c r="D16" s="2">
        <v>171.944444444444</v>
      </c>
      <c r="E16" s="2">
        <v>4.1676575121163104</v>
      </c>
      <c r="F16" s="2">
        <v>1.86663</v>
      </c>
      <c r="G16" s="2">
        <v>5.6102743101087604</v>
      </c>
      <c r="H16" s="3">
        <v>-0.25713837118322302</v>
      </c>
      <c r="I16" s="2">
        <v>4.1397415185783499</v>
      </c>
      <c r="J16" s="2">
        <v>0.79558966074313398</v>
      </c>
      <c r="K16" s="2">
        <v>1.28019050054423</v>
      </c>
      <c r="L16" s="4">
        <v>-0.37853806882263602</v>
      </c>
      <c r="M16" s="2">
        <v>0.76767366720516905</v>
      </c>
      <c r="N16" s="2">
        <v>0.83122778675282705</v>
      </c>
      <c r="O16" s="2">
        <v>2.5408400646203502</v>
      </c>
      <c r="P16" s="2">
        <v>3.3692152181852202</v>
      </c>
      <c r="Q16" s="3">
        <v>-0.24586590642644099</v>
      </c>
      <c r="R16" s="2">
        <v>716.60555555555504</v>
      </c>
      <c r="S16" s="2">
        <v>44.991666666666603</v>
      </c>
      <c r="T16" s="8">
        <v>6.2784423477970899</v>
      </c>
    </row>
    <row r="17" spans="1:20" x14ac:dyDescent="0.2">
      <c r="A17" t="s">
        <v>52</v>
      </c>
      <c r="B17" t="s">
        <v>53</v>
      </c>
      <c r="C17" t="s">
        <v>54</v>
      </c>
      <c r="D17" s="5">
        <v>112.533333333333</v>
      </c>
      <c r="E17" s="5">
        <v>3.15429502369668</v>
      </c>
      <c r="F17" s="5">
        <v>1.14618</v>
      </c>
      <c r="G17" s="5">
        <v>4.6293667189150698</v>
      </c>
      <c r="H17" s="6">
        <v>-0.31863358095858102</v>
      </c>
      <c r="I17" s="5">
        <v>3.1087184044233802</v>
      </c>
      <c r="J17" s="5">
        <v>0.48148696682464398</v>
      </c>
      <c r="K17" s="5">
        <v>0.86520437658907601</v>
      </c>
      <c r="L17" s="7">
        <v>-0.44349915482070701</v>
      </c>
      <c r="M17" s="5">
        <v>0.435910347551342</v>
      </c>
      <c r="N17" s="5">
        <v>0.71681477093206902</v>
      </c>
      <c r="O17" s="5">
        <v>1.95599328593996</v>
      </c>
      <c r="P17" s="5">
        <v>3.19988041529384</v>
      </c>
      <c r="Q17" s="6">
        <v>-0.38872925482112097</v>
      </c>
      <c r="R17" s="5">
        <v>354.96333333333303</v>
      </c>
      <c r="S17" s="5">
        <v>5.9433333333333298</v>
      </c>
      <c r="T17" s="9">
        <v>1.6743513414530999</v>
      </c>
    </row>
    <row r="18" spans="1:20" x14ac:dyDescent="0.2">
      <c r="A18" s="1" t="s">
        <v>55</v>
      </c>
      <c r="B18" s="1" t="s">
        <v>56</v>
      </c>
      <c r="C18" s="1" t="s">
        <v>36</v>
      </c>
      <c r="D18" s="2">
        <v>35.799999999999997</v>
      </c>
      <c r="E18" s="2">
        <v>4.30578833022967</v>
      </c>
      <c r="F18" s="2">
        <v>1.22095</v>
      </c>
      <c r="G18" s="2">
        <v>4.7439732041909899</v>
      </c>
      <c r="H18" s="3">
        <v>-9.2366641863453003E-2</v>
      </c>
      <c r="I18" s="2">
        <v>4.2041589075108599</v>
      </c>
      <c r="J18" s="2">
        <v>1.14836126629422</v>
      </c>
      <c r="K18" s="2">
        <v>0.90875083168632398</v>
      </c>
      <c r="L18" s="4">
        <v>0.26367011314121003</v>
      </c>
      <c r="M18" s="2">
        <v>1.04673184357541</v>
      </c>
      <c r="N18" s="2">
        <v>0.42081005586592102</v>
      </c>
      <c r="O18" s="2">
        <v>2.73661700806952</v>
      </c>
      <c r="P18" s="2">
        <v>3.2237720827541998</v>
      </c>
      <c r="Q18" s="3">
        <v>-0.151113373457992</v>
      </c>
      <c r="R18" s="2">
        <v>154.14722222222201</v>
      </c>
      <c r="S18" s="2">
        <v>29.519888888888801</v>
      </c>
      <c r="T18" s="8">
        <v>19.150451408285701</v>
      </c>
    </row>
    <row r="19" spans="1:20" x14ac:dyDescent="0.2">
      <c r="A19" t="s">
        <v>57</v>
      </c>
      <c r="B19" t="s">
        <v>29</v>
      </c>
      <c r="C19" t="s">
        <v>25</v>
      </c>
      <c r="D19" s="5">
        <v>180.47777777777699</v>
      </c>
      <c r="E19" s="5">
        <v>3.0939481622852898</v>
      </c>
      <c r="F19" s="5">
        <v>1.36788</v>
      </c>
      <c r="G19" s="5">
        <v>4.9580620358697898</v>
      </c>
      <c r="H19" s="6">
        <v>-0.37597631092517803</v>
      </c>
      <c r="I19" s="5">
        <v>3.0579326479098601</v>
      </c>
      <c r="J19" s="5">
        <v>0.81411992858462001</v>
      </c>
      <c r="K19" s="5">
        <v>0.99392713256907805</v>
      </c>
      <c r="L19" s="7">
        <v>-0.180905821053195</v>
      </c>
      <c r="M19" s="5">
        <v>0.77810441420919696</v>
      </c>
      <c r="N19" s="5">
        <v>0.201025056947608</v>
      </c>
      <c r="O19" s="5">
        <v>2.0788031767530599</v>
      </c>
      <c r="P19" s="5">
        <v>3.2647724140260999</v>
      </c>
      <c r="Q19" s="6">
        <v>-0.36326245351066</v>
      </c>
      <c r="R19" s="5">
        <v>558.388888888888</v>
      </c>
      <c r="S19" s="5">
        <v>124.883333333333</v>
      </c>
      <c r="T19" s="9">
        <v>22.364938812058401</v>
      </c>
    </row>
    <row r="20" spans="1:20" x14ac:dyDescent="0.2">
      <c r="A20" s="1" t="s">
        <v>58</v>
      </c>
      <c r="B20" s="1" t="s">
        <v>59</v>
      </c>
      <c r="C20" s="1" t="s">
        <v>60</v>
      </c>
      <c r="D20" s="2">
        <v>248</v>
      </c>
      <c r="E20" s="2">
        <v>3.4036330645161201</v>
      </c>
      <c r="F20" s="2">
        <v>1.6232500000000001</v>
      </c>
      <c r="G20" s="2">
        <v>5.3037133421259499</v>
      </c>
      <c r="H20" s="3">
        <v>-0.35825470854882102</v>
      </c>
      <c r="I20" s="2">
        <v>3.29812634408602</v>
      </c>
      <c r="J20" s="2">
        <v>0.43844489247311802</v>
      </c>
      <c r="K20" s="2">
        <v>1.1409697491098201</v>
      </c>
      <c r="L20" s="4">
        <v>-0.61572610245347004</v>
      </c>
      <c r="M20" s="2">
        <v>0.33293817204301002</v>
      </c>
      <c r="N20" s="2">
        <v>1.0358848566308201</v>
      </c>
      <c r="O20" s="2">
        <v>1.9293033154121799</v>
      </c>
      <c r="P20" s="2">
        <v>3.3232748651802102</v>
      </c>
      <c r="Q20" s="3">
        <v>-0.419457193978578</v>
      </c>
      <c r="R20" s="2">
        <v>844.101</v>
      </c>
      <c r="S20" s="2">
        <v>27.538888888888799</v>
      </c>
      <c r="T20" s="8">
        <v>3.2625111081362101</v>
      </c>
    </row>
    <row r="21" spans="1:20" x14ac:dyDescent="0.2">
      <c r="A21" t="s">
        <v>61</v>
      </c>
      <c r="B21" t="s">
        <v>62</v>
      </c>
      <c r="C21" t="s">
        <v>63</v>
      </c>
      <c r="D21" s="5">
        <v>112.311111111111</v>
      </c>
      <c r="E21" s="5">
        <v>3.8155045508508101</v>
      </c>
      <c r="F21" s="5">
        <v>1.3872599999999999</v>
      </c>
      <c r="G21" s="5">
        <v>4.9853614502521397</v>
      </c>
      <c r="H21" s="6">
        <v>-0.234658391588069</v>
      </c>
      <c r="I21" s="5">
        <v>3.76801741195092</v>
      </c>
      <c r="J21" s="5">
        <v>0.54696774831816297</v>
      </c>
      <c r="K21" s="5">
        <v>1.0051272819549999</v>
      </c>
      <c r="L21" s="7">
        <v>-0.45582240365190901</v>
      </c>
      <c r="M21" s="5">
        <v>0.49948060941828198</v>
      </c>
      <c r="N21" s="5">
        <v>1.09329244163039</v>
      </c>
      <c r="O21" s="5">
        <v>2.17524436090225</v>
      </c>
      <c r="P21" s="5">
        <v>3.2697076451883098</v>
      </c>
      <c r="Q21" s="6">
        <v>-0.33472817849530501</v>
      </c>
      <c r="R21" s="5">
        <v>428.52355555555499</v>
      </c>
      <c r="S21" s="5">
        <v>200.88744444444399</v>
      </c>
      <c r="T21" s="9">
        <v>46.878973592013097</v>
      </c>
    </row>
    <row r="22" spans="1:20" x14ac:dyDescent="0.2">
      <c r="A22" s="1" t="s">
        <v>64</v>
      </c>
      <c r="B22" s="1" t="s">
        <v>65</v>
      </c>
      <c r="C22" s="1" t="s">
        <v>51</v>
      </c>
      <c r="D22" s="2">
        <v>20.533333333333299</v>
      </c>
      <c r="E22" s="2">
        <v>7.07267857142857</v>
      </c>
      <c r="F22" s="2">
        <v>1.3992599999999999</v>
      </c>
      <c r="G22" s="2">
        <v>5.0021666623636403</v>
      </c>
      <c r="H22" s="3">
        <v>0.41392301552914601</v>
      </c>
      <c r="I22" s="2">
        <v>6.82524891774891</v>
      </c>
      <c r="J22" s="2">
        <v>3.5041937229437199</v>
      </c>
      <c r="K22" s="2">
        <v>1.0120586530381199</v>
      </c>
      <c r="L22" s="4">
        <v>2.4624413441102502</v>
      </c>
      <c r="M22" s="2">
        <v>3.2567640692640598</v>
      </c>
      <c r="N22" s="2">
        <v>4.0584415584414999E-3</v>
      </c>
      <c r="O22" s="2">
        <v>3.5644264069263998</v>
      </c>
      <c r="P22" s="2">
        <v>3.2727159622872701</v>
      </c>
      <c r="Q22" s="3">
        <v>8.9134055017490998E-2</v>
      </c>
      <c r="R22" s="2">
        <v>145.225666666666</v>
      </c>
      <c r="S22" s="2">
        <v>0</v>
      </c>
      <c r="T22" s="8">
        <v>0</v>
      </c>
    </row>
    <row r="23" spans="1:20" x14ac:dyDescent="0.2">
      <c r="A23" t="s">
        <v>66</v>
      </c>
      <c r="B23" t="s">
        <v>65</v>
      </c>
      <c r="C23" t="s">
        <v>51</v>
      </c>
      <c r="D23" s="5">
        <v>17.7777777777777</v>
      </c>
      <c r="E23" s="5">
        <v>7.3002874999999996</v>
      </c>
      <c r="F23" s="5">
        <v>1.3841399999999999</v>
      </c>
      <c r="G23" s="5">
        <v>4.9809798738989199</v>
      </c>
      <c r="H23" s="6">
        <v>0.46563280415056302</v>
      </c>
      <c r="I23" s="5">
        <v>6.9067999999999996</v>
      </c>
      <c r="J23" s="5">
        <v>3.6689562499999999</v>
      </c>
      <c r="K23" s="5">
        <v>1.0033246645815099</v>
      </c>
      <c r="L23" s="7">
        <v>2.6567986211425598</v>
      </c>
      <c r="M23" s="5">
        <v>3.2754687499999999</v>
      </c>
      <c r="N23" s="5">
        <v>0.11046874999999901</v>
      </c>
      <c r="O23" s="5">
        <v>3.5208624999999998</v>
      </c>
      <c r="P23" s="5">
        <v>3.2689195998798999</v>
      </c>
      <c r="Q23" s="6">
        <v>7.7072222923242006E-2</v>
      </c>
      <c r="R23" s="5">
        <v>129.78288888888801</v>
      </c>
      <c r="S23" s="5">
        <v>0</v>
      </c>
      <c r="T23" s="9">
        <v>0</v>
      </c>
    </row>
    <row r="24" spans="1:20" x14ac:dyDescent="0.2">
      <c r="A24" s="1" t="s">
        <v>67</v>
      </c>
      <c r="B24" s="1" t="s">
        <v>68</v>
      </c>
      <c r="C24" s="1" t="s">
        <v>36</v>
      </c>
      <c r="D24" s="2">
        <v>97.588888888888803</v>
      </c>
      <c r="E24" s="2">
        <v>3.1179209837185402</v>
      </c>
      <c r="F24" s="2">
        <v>1.4353100000000001</v>
      </c>
      <c r="G24" s="2">
        <v>5.0522159239433604</v>
      </c>
      <c r="H24" s="3">
        <v>-0.38286070297546898</v>
      </c>
      <c r="I24" s="2">
        <v>3.05284071501764</v>
      </c>
      <c r="J24" s="2">
        <v>0.66141409541159002</v>
      </c>
      <c r="K24" s="2">
        <v>1.032865096986</v>
      </c>
      <c r="L24" s="4">
        <v>-0.35963167180142203</v>
      </c>
      <c r="M24" s="2">
        <v>0.59633382671069102</v>
      </c>
      <c r="N24" s="2">
        <v>0.67340316520551002</v>
      </c>
      <c r="O24" s="2">
        <v>1.7831037231014399</v>
      </c>
      <c r="P24" s="2">
        <v>3.2815455459647498</v>
      </c>
      <c r="Q24" s="3">
        <v>-0.45662685520422103</v>
      </c>
      <c r="R24" s="2">
        <v>304.27444444444399</v>
      </c>
      <c r="S24" s="2">
        <v>0</v>
      </c>
      <c r="T24" s="8">
        <v>0</v>
      </c>
    </row>
    <row r="25" spans="1:20" x14ac:dyDescent="0.2">
      <c r="A25" t="s">
        <v>69</v>
      </c>
      <c r="B25" t="s">
        <v>24</v>
      </c>
      <c r="C25" t="s">
        <v>25</v>
      </c>
      <c r="D25" s="5">
        <v>290.25555555555502</v>
      </c>
      <c r="E25" s="5">
        <v>3.4640833748038098</v>
      </c>
      <c r="F25" s="5">
        <v>1.6632199999999999</v>
      </c>
      <c r="G25" s="5">
        <v>5.3554000932199397</v>
      </c>
      <c r="H25" s="6">
        <v>-0.35316067623231001</v>
      </c>
      <c r="I25" s="5">
        <v>3.3271396853347599</v>
      </c>
      <c r="J25" s="5">
        <v>1.0357397695517301</v>
      </c>
      <c r="K25" s="5">
        <v>1.16388915779993</v>
      </c>
      <c r="L25" s="7">
        <v>-0.110104460883918</v>
      </c>
      <c r="M25" s="5">
        <v>0.89879608008268497</v>
      </c>
      <c r="N25" s="5">
        <v>0.31728744784289697</v>
      </c>
      <c r="O25" s="5">
        <v>2.11105615740918</v>
      </c>
      <c r="P25" s="5">
        <v>3.3313653303364701</v>
      </c>
      <c r="Q25" s="6">
        <v>-0.36630902105355001</v>
      </c>
      <c r="R25" s="5">
        <v>1005.46944444444</v>
      </c>
      <c r="S25" s="5">
        <v>225.39555555555501</v>
      </c>
      <c r="T25" s="9">
        <v>22.4169473076423</v>
      </c>
    </row>
    <row r="26" spans="1:20" x14ac:dyDescent="0.2">
      <c r="A26" s="1" t="s">
        <v>70</v>
      </c>
      <c r="B26" s="1" t="s">
        <v>71</v>
      </c>
      <c r="C26" s="1" t="s">
        <v>60</v>
      </c>
      <c r="D26" s="2">
        <v>104.7</v>
      </c>
      <c r="E26" s="2">
        <v>3.8227210018040898</v>
      </c>
      <c r="F26" s="2">
        <v>1.23431</v>
      </c>
      <c r="G26" s="2">
        <v>4.7640118573313899</v>
      </c>
      <c r="H26" s="3">
        <v>-0.19758365086324001</v>
      </c>
      <c r="I26" s="2">
        <v>3.72474265096041</v>
      </c>
      <c r="J26" s="2">
        <v>0.56372705083306796</v>
      </c>
      <c r="K26" s="2">
        <v>0.91651637427001897</v>
      </c>
      <c r="L26" s="4">
        <v>-0.384924190490255</v>
      </c>
      <c r="M26" s="2">
        <v>0.465748699989387</v>
      </c>
      <c r="N26" s="2">
        <v>1.1524461424174799</v>
      </c>
      <c r="O26" s="2">
        <v>2.1065478085535299</v>
      </c>
      <c r="P26" s="2">
        <v>3.2277986025625101</v>
      </c>
      <c r="Q26" s="3">
        <v>-0.34737321997686699</v>
      </c>
      <c r="R26" s="2">
        <v>400.23888888888803</v>
      </c>
      <c r="S26" s="2">
        <v>111.077777777777</v>
      </c>
      <c r="T26" s="8">
        <v>27.7528698138611</v>
      </c>
    </row>
    <row r="27" spans="1:20" x14ac:dyDescent="0.2">
      <c r="A27" t="s">
        <v>72</v>
      </c>
      <c r="B27" t="s">
        <v>73</v>
      </c>
      <c r="C27" t="s">
        <v>25</v>
      </c>
      <c r="D27" s="5">
        <v>22.1</v>
      </c>
      <c r="E27" s="5">
        <v>5.2713675213675204</v>
      </c>
      <c r="F27" s="5">
        <v>1.1975199999999999</v>
      </c>
      <c r="G27" s="5">
        <v>4.7085211232795396</v>
      </c>
      <c r="H27" s="6">
        <v>0.119537830106611</v>
      </c>
      <c r="I27" s="5">
        <v>4.4648466566113596</v>
      </c>
      <c r="J27" s="5">
        <v>1.89398692810457</v>
      </c>
      <c r="K27" s="5">
        <v>0.89512114151603195</v>
      </c>
      <c r="L27" s="7">
        <v>1.1159001170464999</v>
      </c>
      <c r="M27" s="5">
        <v>1.0874660633484099</v>
      </c>
      <c r="N27" s="5">
        <v>0.66893916540975296</v>
      </c>
      <c r="O27" s="5">
        <v>2.7084414278531899</v>
      </c>
      <c r="P27" s="5">
        <v>3.21654235929023</v>
      </c>
      <c r="Q27" s="6">
        <v>-0.15796494330923699</v>
      </c>
      <c r="R27" s="5">
        <v>116.49722222222201</v>
      </c>
      <c r="S27" s="5">
        <v>0</v>
      </c>
      <c r="T27" s="9">
        <v>0</v>
      </c>
    </row>
    <row r="28" spans="1:20" x14ac:dyDescent="0.2">
      <c r="A28" s="1" t="s">
        <v>74</v>
      </c>
      <c r="B28" s="1" t="s">
        <v>75</v>
      </c>
      <c r="C28" s="1" t="s">
        <v>25</v>
      </c>
      <c r="D28" s="2">
        <v>73.3888888888888</v>
      </c>
      <c r="E28" s="2">
        <v>4.9367206661619898</v>
      </c>
      <c r="F28" s="2">
        <v>1.52685</v>
      </c>
      <c r="G28" s="2">
        <v>5.1765669039411097</v>
      </c>
      <c r="H28" s="3">
        <v>-4.6333070204601E-2</v>
      </c>
      <c r="I28" s="2">
        <v>4.7957668433005303</v>
      </c>
      <c r="J28" s="2">
        <v>0.70673732021196001</v>
      </c>
      <c r="K28" s="2">
        <v>1.08559258166784</v>
      </c>
      <c r="L28" s="4">
        <v>-0.348984755288056</v>
      </c>
      <c r="M28" s="2">
        <v>0.56578349735049205</v>
      </c>
      <c r="N28" s="2">
        <v>1.0340272520817499</v>
      </c>
      <c r="O28" s="2">
        <v>3.1959560938682801</v>
      </c>
      <c r="P28" s="2">
        <v>3.3026966546012502</v>
      </c>
      <c r="Q28" s="3">
        <v>-3.2319214234908099E-2</v>
      </c>
      <c r="R28" s="2">
        <v>362.300444444444</v>
      </c>
      <c r="S28" s="2">
        <v>76.217111111111095</v>
      </c>
      <c r="T28" s="8">
        <v>21.036990784812101</v>
      </c>
    </row>
    <row r="29" spans="1:20" x14ac:dyDescent="0.2">
      <c r="A29" t="s">
        <v>76</v>
      </c>
      <c r="B29" t="s">
        <v>77</v>
      </c>
      <c r="C29" t="s">
        <v>54</v>
      </c>
      <c r="D29" s="5">
        <v>110.25555555555501</v>
      </c>
      <c r="E29" s="5">
        <v>1.9805855084147901</v>
      </c>
      <c r="F29" s="5">
        <v>1.3054699999999999</v>
      </c>
      <c r="G29" s="5">
        <v>4.8687398087347198</v>
      </c>
      <c r="H29" s="6">
        <v>-0.59320366537937796</v>
      </c>
      <c r="I29" s="5">
        <v>1.8564043132117301</v>
      </c>
      <c r="J29" s="5">
        <v>0.45031945984077398</v>
      </c>
      <c r="K29" s="5">
        <v>0.95780649112523097</v>
      </c>
      <c r="L29" s="7">
        <v>-0.52984296513616302</v>
      </c>
      <c r="M29" s="5">
        <v>0.32719641237528901</v>
      </c>
      <c r="N29" s="5">
        <v>0.52476871913735701</v>
      </c>
      <c r="O29" s="5">
        <v>1.00549732943666</v>
      </c>
      <c r="P29" s="5">
        <v>3.2481846214763701</v>
      </c>
      <c r="Q29" s="6">
        <v>-0.69044329475962996</v>
      </c>
      <c r="R29" s="5">
        <v>218.370555555555</v>
      </c>
      <c r="S29" s="5">
        <v>2.5833333333333299</v>
      </c>
      <c r="T29" s="9">
        <v>1.18300442418213</v>
      </c>
    </row>
    <row r="30" spans="1:20" x14ac:dyDescent="0.2">
      <c r="A30" s="1" t="s">
        <v>78</v>
      </c>
      <c r="B30" s="1" t="s">
        <v>79</v>
      </c>
      <c r="C30" s="1" t="s">
        <v>46</v>
      </c>
      <c r="D30" s="2">
        <v>147.85555555555499</v>
      </c>
      <c r="E30" s="2">
        <v>3.7503524460810098</v>
      </c>
      <c r="F30" s="2">
        <v>1.23933</v>
      </c>
      <c r="G30" s="2">
        <v>4.7715092007259097</v>
      </c>
      <c r="H30" s="3">
        <v>-0.21401127225942501</v>
      </c>
      <c r="I30" s="2">
        <v>3.42974674983091</v>
      </c>
      <c r="J30" s="2">
        <v>0.38337716991057302</v>
      </c>
      <c r="K30" s="2">
        <v>0.91943312302535096</v>
      </c>
      <c r="L30" s="4">
        <v>-0.58302875945007404</v>
      </c>
      <c r="M30" s="2">
        <v>8.8712707597505006E-2</v>
      </c>
      <c r="N30" s="2">
        <v>1.20933794243631</v>
      </c>
      <c r="O30" s="2">
        <v>2.1576373337341201</v>
      </c>
      <c r="P30" s="2">
        <v>3.22929427521863</v>
      </c>
      <c r="Q30" s="3">
        <v>-0.33185484200319798</v>
      </c>
      <c r="R30" s="2">
        <v>554.51044444444403</v>
      </c>
      <c r="S30" s="2">
        <v>28.5737777777777</v>
      </c>
      <c r="T30" s="8">
        <v>5.1529737742641402</v>
      </c>
    </row>
    <row r="31" spans="1:20" x14ac:dyDescent="0.2">
      <c r="A31" t="s">
        <v>80</v>
      </c>
      <c r="B31" t="s">
        <v>43</v>
      </c>
      <c r="C31" t="s">
        <v>25</v>
      </c>
      <c r="D31" s="5">
        <v>192.06666666666601</v>
      </c>
      <c r="E31" s="5">
        <v>4.0336833275483004</v>
      </c>
      <c r="F31" s="5">
        <v>1.3673299999999999</v>
      </c>
      <c r="G31" s="5">
        <v>4.9572843669330204</v>
      </c>
      <c r="H31" s="6">
        <v>-0.18631189397676901</v>
      </c>
      <c r="I31" s="5">
        <v>3.9355113965058401</v>
      </c>
      <c r="J31" s="5">
        <v>0.48403332176327601</v>
      </c>
      <c r="K31" s="5">
        <v>0.99360916543559796</v>
      </c>
      <c r="L31" s="7">
        <v>-0.51285340493907705</v>
      </c>
      <c r="M31" s="5">
        <v>0.38586139072081399</v>
      </c>
      <c r="N31" s="5">
        <v>1.0155183385398501</v>
      </c>
      <c r="O31" s="5">
        <v>2.5341316672451599</v>
      </c>
      <c r="P31" s="5">
        <v>3.2646309344932498</v>
      </c>
      <c r="Q31" s="6">
        <v>-0.22376166920732499</v>
      </c>
      <c r="R31" s="5">
        <v>774.73611111111097</v>
      </c>
      <c r="S31" s="5">
        <v>302.73333333333301</v>
      </c>
      <c r="T31" s="9">
        <v>39.075670927376699</v>
      </c>
    </row>
    <row r="32" spans="1:20" x14ac:dyDescent="0.2">
      <c r="A32" s="1" t="s">
        <v>81</v>
      </c>
      <c r="B32" s="1" t="s">
        <v>68</v>
      </c>
      <c r="C32" s="1" t="s">
        <v>36</v>
      </c>
      <c r="D32" s="2">
        <v>222</v>
      </c>
      <c r="E32" s="2">
        <v>3.3846221221221202</v>
      </c>
      <c r="F32" s="2">
        <v>1.5964</v>
      </c>
      <c r="G32" s="2">
        <v>5.2686633629056301</v>
      </c>
      <c r="H32" s="3">
        <v>-0.35759377872730003</v>
      </c>
      <c r="I32" s="2">
        <v>3.2187812812812799</v>
      </c>
      <c r="J32" s="2">
        <v>0.63842592592592595</v>
      </c>
      <c r="K32" s="2">
        <v>1.12556024140149</v>
      </c>
      <c r="L32" s="4">
        <v>-0.43279275293965103</v>
      </c>
      <c r="M32" s="2">
        <v>0.55634384384384294</v>
      </c>
      <c r="N32" s="2">
        <v>0.89230480480480401</v>
      </c>
      <c r="O32" s="2">
        <v>1.8538913913913899</v>
      </c>
      <c r="P32" s="2">
        <v>3.3177007209376699</v>
      </c>
      <c r="Q32" s="3">
        <v>-0.441211987660107</v>
      </c>
      <c r="R32" s="2">
        <v>751.38611111111095</v>
      </c>
      <c r="S32" s="2">
        <v>7.0916666666666597</v>
      </c>
      <c r="T32" s="8">
        <v>0.94381125253697795</v>
      </c>
    </row>
    <row r="33" spans="1:20" x14ac:dyDescent="0.2">
      <c r="A33" t="s">
        <v>82</v>
      </c>
      <c r="B33" t="s">
        <v>83</v>
      </c>
      <c r="C33" t="s">
        <v>36</v>
      </c>
      <c r="D33" s="5">
        <v>93.033333333333303</v>
      </c>
      <c r="E33" s="5">
        <v>3.0180819300131301</v>
      </c>
      <c r="F33" s="5">
        <v>1.5774600000000001</v>
      </c>
      <c r="G33" s="5">
        <v>5.2437739871307203</v>
      </c>
      <c r="H33" s="6">
        <v>-0.42444469623974601</v>
      </c>
      <c r="I33" s="5">
        <v>2.88682670488474</v>
      </c>
      <c r="J33" s="5">
        <v>0.65896333452764799</v>
      </c>
      <c r="K33" s="5">
        <v>1.11468374404045</v>
      </c>
      <c r="L33" s="7">
        <v>-0.40883381672090202</v>
      </c>
      <c r="M33" s="5">
        <v>0.52770810939925905</v>
      </c>
      <c r="N33" s="5">
        <v>0.69222500895736305</v>
      </c>
      <c r="O33" s="5">
        <v>1.66689358652812</v>
      </c>
      <c r="P33" s="5">
        <v>3.3136978681929299</v>
      </c>
      <c r="Q33" s="6">
        <v>-0.49696874825913501</v>
      </c>
      <c r="R33" s="5">
        <v>280.782222222222</v>
      </c>
      <c r="S33" s="5">
        <v>4.8222222222222202</v>
      </c>
      <c r="T33" s="9">
        <v>1.7174243383563299</v>
      </c>
    </row>
    <row r="34" spans="1:20" x14ac:dyDescent="0.2">
      <c r="A34" s="1" t="s">
        <v>84</v>
      </c>
      <c r="B34" s="1" t="s">
        <v>85</v>
      </c>
      <c r="C34" s="1" t="s">
        <v>60</v>
      </c>
      <c r="D34" s="2">
        <v>74.266666666666595</v>
      </c>
      <c r="E34" s="2">
        <v>3.8616292639138199</v>
      </c>
      <c r="F34" s="2">
        <v>1.45895</v>
      </c>
      <c r="G34" s="2">
        <v>5.0846938941162403</v>
      </c>
      <c r="H34" s="3">
        <v>-0.240538497630642</v>
      </c>
      <c r="I34" s="2">
        <v>3.6429727707959301</v>
      </c>
      <c r="J34" s="2">
        <v>0.41535757031717502</v>
      </c>
      <c r="K34" s="2">
        <v>1.0464959699309</v>
      </c>
      <c r="L34" s="4">
        <v>-0.60309682764989503</v>
      </c>
      <c r="M34" s="2">
        <v>0.19670107719928101</v>
      </c>
      <c r="N34" s="2">
        <v>1.1410831837223201</v>
      </c>
      <c r="O34" s="2">
        <v>2.3051885098743199</v>
      </c>
      <c r="P34" s="2">
        <v>3.28717491487861</v>
      </c>
      <c r="Q34" s="3">
        <v>-0.29873262921287203</v>
      </c>
      <c r="R34" s="2">
        <v>286.79033333333302</v>
      </c>
      <c r="S34" s="2">
        <v>5.0805555555555504</v>
      </c>
      <c r="T34" s="8">
        <v>1.77152259509754</v>
      </c>
    </row>
    <row r="35" spans="1:20" x14ac:dyDescent="0.2">
      <c r="A35" t="s">
        <v>86</v>
      </c>
      <c r="B35" t="s">
        <v>87</v>
      </c>
      <c r="C35" t="s">
        <v>25</v>
      </c>
      <c r="D35" s="5">
        <v>192.322222222222</v>
      </c>
      <c r="E35" s="5">
        <v>3.8794557744525902</v>
      </c>
      <c r="F35" s="5">
        <v>1.2531600000000001</v>
      </c>
      <c r="G35" s="5">
        <v>4.7920754018561702</v>
      </c>
      <c r="H35" s="6">
        <v>-0.19044350325749801</v>
      </c>
      <c r="I35" s="5">
        <v>3.6468022416084098</v>
      </c>
      <c r="J35" s="5">
        <v>0.81522618291062399</v>
      </c>
      <c r="K35" s="5">
        <v>0.92746553753168903</v>
      </c>
      <c r="L35" s="7">
        <v>-0.12101727781689001</v>
      </c>
      <c r="M35" s="5">
        <v>0.58257265006643899</v>
      </c>
      <c r="N35" s="5">
        <v>0.52975330752787497</v>
      </c>
      <c r="O35" s="5">
        <v>2.5344762840140902</v>
      </c>
      <c r="P35" s="5">
        <v>3.2333674594726198</v>
      </c>
      <c r="Q35" s="6">
        <v>-0.21614962858954301</v>
      </c>
      <c r="R35" s="5">
        <v>746.10555555555504</v>
      </c>
      <c r="S35" s="5">
        <v>2.05555555555555</v>
      </c>
      <c r="T35" s="9">
        <v>0.27550465751792602</v>
      </c>
    </row>
    <row r="36" spans="1:20" x14ac:dyDescent="0.2">
      <c r="A36" s="1" t="s">
        <v>88</v>
      </c>
      <c r="B36" s="1" t="s">
        <v>89</v>
      </c>
      <c r="C36" s="1" t="s">
        <v>25</v>
      </c>
      <c r="D36" s="2">
        <v>116.9</v>
      </c>
      <c r="E36" s="2">
        <v>3.7973339036213201</v>
      </c>
      <c r="F36" s="2">
        <v>1.7224600000000001</v>
      </c>
      <c r="G36" s="2">
        <v>5.4309820589270901</v>
      </c>
      <c r="H36" s="3">
        <v>-0.300801611491328</v>
      </c>
      <c r="I36" s="2">
        <v>3.6432373348541001</v>
      </c>
      <c r="J36" s="2">
        <v>0.68562874251496997</v>
      </c>
      <c r="K36" s="2">
        <v>1.1978164674199101</v>
      </c>
      <c r="L36" s="4">
        <v>-0.42760117166212702</v>
      </c>
      <c r="M36" s="2">
        <v>0.53153217374774198</v>
      </c>
      <c r="N36" s="2">
        <v>1.03193612774451</v>
      </c>
      <c r="O36" s="2">
        <v>2.0797690333618402</v>
      </c>
      <c r="P36" s="2">
        <v>3.3429313805754899</v>
      </c>
      <c r="Q36" s="3">
        <v>-0.37786068674738599</v>
      </c>
      <c r="R36" s="2">
        <v>443.90833333333302</v>
      </c>
      <c r="S36" s="2">
        <v>20.4305555555555</v>
      </c>
      <c r="T36" s="8">
        <v>4.6024266771793396</v>
      </c>
    </row>
    <row r="37" spans="1:20" x14ac:dyDescent="0.2">
      <c r="A37" t="s">
        <v>90</v>
      </c>
      <c r="B37" t="s">
        <v>91</v>
      </c>
      <c r="C37" t="s">
        <v>60</v>
      </c>
      <c r="D37" s="5">
        <v>266.77777777777698</v>
      </c>
      <c r="E37" s="5">
        <v>3.3397617659308598</v>
      </c>
      <c r="F37" s="5">
        <v>1.3348800000000001</v>
      </c>
      <c r="G37" s="5">
        <v>4.9111081196496098</v>
      </c>
      <c r="H37" s="6">
        <v>-0.31995759723385098</v>
      </c>
      <c r="I37" s="5">
        <v>3.17484089962515</v>
      </c>
      <c r="J37" s="5">
        <v>0.58258184089962495</v>
      </c>
      <c r="K37" s="5">
        <v>0.97483815258066298</v>
      </c>
      <c r="L37" s="7">
        <v>-0.40238096000103002</v>
      </c>
      <c r="M37" s="5">
        <v>0.43950603915035402</v>
      </c>
      <c r="N37" s="5">
        <v>0.85226572261557698</v>
      </c>
      <c r="O37" s="5">
        <v>1.90491420241566</v>
      </c>
      <c r="P37" s="5">
        <v>3.2561391648660698</v>
      </c>
      <c r="Q37" s="6">
        <v>-0.41497764500676299</v>
      </c>
      <c r="R37" s="5">
        <v>890.97422222222201</v>
      </c>
      <c r="S37" s="5">
        <v>99.596999999999994</v>
      </c>
      <c r="T37" s="9">
        <v>11.178437884722401</v>
      </c>
    </row>
    <row r="38" spans="1:20" x14ac:dyDescent="0.2">
      <c r="A38" s="1" t="s">
        <v>92</v>
      </c>
      <c r="B38" s="1" t="s">
        <v>93</v>
      </c>
      <c r="C38" s="1" t="s">
        <v>51</v>
      </c>
      <c r="D38" s="2">
        <v>225.73333333333301</v>
      </c>
      <c r="E38" s="2">
        <v>3.5884844457570302</v>
      </c>
      <c r="F38" s="2">
        <v>1.89367</v>
      </c>
      <c r="G38" s="2">
        <v>5.6432277008398302</v>
      </c>
      <c r="H38" s="3">
        <v>-0.36410780567599699</v>
      </c>
      <c r="I38" s="2">
        <v>3.49812463083284</v>
      </c>
      <c r="J38" s="2">
        <v>0.45331265997243497</v>
      </c>
      <c r="K38" s="2">
        <v>1.2956117328173899</v>
      </c>
      <c r="L38" s="4">
        <v>-0.65011689189732902</v>
      </c>
      <c r="M38" s="2">
        <v>0.36295284504823699</v>
      </c>
      <c r="N38" s="2">
        <v>0.97379405394762697</v>
      </c>
      <c r="O38" s="2">
        <v>2.16137773183697</v>
      </c>
      <c r="P38" s="2">
        <v>3.3738831359108099</v>
      </c>
      <c r="Q38" s="3">
        <v>-0.35937978739340798</v>
      </c>
      <c r="R38" s="2">
        <v>810.04055555555499</v>
      </c>
      <c r="S38" s="2">
        <v>14.547222222222199</v>
      </c>
      <c r="T38" s="8">
        <v>1.79586344442287</v>
      </c>
    </row>
    <row r="39" spans="1:20" x14ac:dyDescent="0.2">
      <c r="A39" t="s">
        <v>94</v>
      </c>
      <c r="B39" t="s">
        <v>95</v>
      </c>
      <c r="C39" t="s">
        <v>51</v>
      </c>
      <c r="D39" s="5">
        <v>116.944444444444</v>
      </c>
      <c r="E39" s="5">
        <v>3.6604988123515398</v>
      </c>
      <c r="F39" s="5">
        <v>1.63785</v>
      </c>
      <c r="G39" s="5">
        <v>5.3226599416159104</v>
      </c>
      <c r="H39" s="6">
        <v>-0.31228016583748702</v>
      </c>
      <c r="I39" s="5">
        <v>3.53902612826603</v>
      </c>
      <c r="J39" s="5">
        <v>0.63135391923990403</v>
      </c>
      <c r="K39" s="5">
        <v>1.14934432109373</v>
      </c>
      <c r="L39" s="7">
        <v>-0.450683396043494</v>
      </c>
      <c r="M39" s="5">
        <v>0.50988123515439399</v>
      </c>
      <c r="N39" s="5">
        <v>0.72755344418052204</v>
      </c>
      <c r="O39" s="5">
        <v>2.3015914489311098</v>
      </c>
      <c r="P39" s="5">
        <v>3.32625817827449</v>
      </c>
      <c r="Q39" s="6">
        <v>-0.30805387748792401</v>
      </c>
      <c r="R39" s="5">
        <v>428.07499999999999</v>
      </c>
      <c r="S39" s="5">
        <v>9.2527777777777693</v>
      </c>
      <c r="T39" s="9">
        <v>2.1614852018402702</v>
      </c>
    </row>
    <row r="40" spans="1:20" x14ac:dyDescent="0.2">
      <c r="A40" s="1" t="s">
        <v>96</v>
      </c>
      <c r="B40" s="1" t="s">
        <v>97</v>
      </c>
      <c r="C40" s="1" t="s">
        <v>51</v>
      </c>
      <c r="D40" s="2">
        <v>176.78888888888801</v>
      </c>
      <c r="E40" s="2">
        <v>3.0403852680535399</v>
      </c>
      <c r="F40" s="2">
        <v>1.4966200000000001</v>
      </c>
      <c r="G40" s="2">
        <v>5.1359146252019299</v>
      </c>
      <c r="H40" s="3">
        <v>-0.40801483476100298</v>
      </c>
      <c r="I40" s="2">
        <v>2.9259204324052499</v>
      </c>
      <c r="J40" s="2">
        <v>0.49456350952171402</v>
      </c>
      <c r="K40" s="2">
        <v>1.0681960135348401</v>
      </c>
      <c r="L40" s="4">
        <v>-0.537010526855348</v>
      </c>
      <c r="M40" s="2">
        <v>0.38009867387342</v>
      </c>
      <c r="N40" s="2">
        <v>0.76434542140657402</v>
      </c>
      <c r="O40" s="2">
        <v>1.78147633712525</v>
      </c>
      <c r="P40" s="2">
        <v>3.2958998257325902</v>
      </c>
      <c r="Q40" s="3">
        <v>-0.45948711085923699</v>
      </c>
      <c r="R40" s="2">
        <v>537.50633333333303</v>
      </c>
      <c r="S40" s="2">
        <v>13.647222222222201</v>
      </c>
      <c r="T40" s="8">
        <v>2.5389881710954501</v>
      </c>
    </row>
    <row r="41" spans="1:20" x14ac:dyDescent="0.2">
      <c r="A41" t="s">
        <v>98</v>
      </c>
      <c r="B41" t="s">
        <v>99</v>
      </c>
      <c r="C41" t="s">
        <v>51</v>
      </c>
      <c r="D41" s="5">
        <v>146.56666666666601</v>
      </c>
      <c r="E41" s="5">
        <v>3.3809036464255899</v>
      </c>
      <c r="F41" s="5">
        <v>1.3897600000000001</v>
      </c>
      <c r="G41" s="5">
        <v>4.9888686696552798</v>
      </c>
      <c r="H41" s="6">
        <v>-0.32231055369529199</v>
      </c>
      <c r="I41" s="5">
        <v>3.2950496550678401</v>
      </c>
      <c r="J41" s="5">
        <v>0.52196573421271997</v>
      </c>
      <c r="K41" s="5">
        <v>1.0065715490545599</v>
      </c>
      <c r="L41" s="7">
        <v>-0.48144199515376201</v>
      </c>
      <c r="M41" s="5">
        <v>0.45453339398074399</v>
      </c>
      <c r="N41" s="5">
        <v>0.80145553786672696</v>
      </c>
      <c r="O41" s="5">
        <v>2.0574823743461401</v>
      </c>
      <c r="P41" s="5">
        <v>3.2703373269384102</v>
      </c>
      <c r="Q41" s="6">
        <v>-0.37086539746274599</v>
      </c>
      <c r="R41" s="5">
        <v>495.52777777777698</v>
      </c>
      <c r="S41" s="5">
        <v>5.11666666666666</v>
      </c>
      <c r="T41" s="9">
        <v>1.0325690901956299</v>
      </c>
    </row>
    <row r="42" spans="1:20" x14ac:dyDescent="0.2">
      <c r="A42" s="1" t="s">
        <v>100</v>
      </c>
      <c r="B42" s="1" t="s">
        <v>101</v>
      </c>
      <c r="C42" s="1" t="s">
        <v>54</v>
      </c>
      <c r="D42" s="2">
        <v>116.388888888888</v>
      </c>
      <c r="E42" s="2">
        <v>3.2333890214797099</v>
      </c>
      <c r="F42" s="2">
        <v>1.34999</v>
      </c>
      <c r="G42" s="2">
        <v>4.9326822331068598</v>
      </c>
      <c r="H42" s="3">
        <v>-0.34449679329066502</v>
      </c>
      <c r="I42" s="2">
        <v>3.1913842482100199</v>
      </c>
      <c r="J42" s="2">
        <v>0.59935560859188497</v>
      </c>
      <c r="K42" s="2">
        <v>0.98358137860209505</v>
      </c>
      <c r="L42" s="4">
        <v>-0.39063953259900702</v>
      </c>
      <c r="M42" s="2">
        <v>0.55735083532219498</v>
      </c>
      <c r="N42" s="2">
        <v>0.97126491646778002</v>
      </c>
      <c r="O42" s="2">
        <v>1.66276849642004</v>
      </c>
      <c r="P42" s="2">
        <v>3.26012912531918</v>
      </c>
      <c r="Q42" s="3">
        <v>-0.48996851581538098</v>
      </c>
      <c r="R42" s="2">
        <v>376.33055555555501</v>
      </c>
      <c r="S42" s="2">
        <v>132.25555555555499</v>
      </c>
      <c r="T42" s="8">
        <v>35.143453967035398</v>
      </c>
    </row>
    <row r="43" spans="1:20" x14ac:dyDescent="0.2">
      <c r="A43" t="s">
        <v>102</v>
      </c>
      <c r="B43" t="s">
        <v>103</v>
      </c>
      <c r="C43" t="s">
        <v>51</v>
      </c>
      <c r="D43" s="5">
        <v>155.822222222222</v>
      </c>
      <c r="E43" s="5">
        <v>3.6955661722760902</v>
      </c>
      <c r="F43" s="5">
        <v>1.2532000000000001</v>
      </c>
      <c r="G43" s="5">
        <v>4.7921346981108197</v>
      </c>
      <c r="H43" s="6">
        <v>-0.228826732743347</v>
      </c>
      <c r="I43" s="5">
        <v>3.5394409583570998</v>
      </c>
      <c r="J43" s="5">
        <v>0.665601825442099</v>
      </c>
      <c r="K43" s="5">
        <v>0.927488762711276</v>
      </c>
      <c r="L43" s="7">
        <v>-0.28236130484602001</v>
      </c>
      <c r="M43" s="5">
        <v>0.50947661152310297</v>
      </c>
      <c r="N43" s="5">
        <v>0.74294067313177403</v>
      </c>
      <c r="O43" s="5">
        <v>2.2870236737022198</v>
      </c>
      <c r="P43" s="5">
        <v>3.2333791411730801</v>
      </c>
      <c r="Q43" s="6">
        <v>-0.292683111429832</v>
      </c>
      <c r="R43" s="5">
        <v>575.85133333333295</v>
      </c>
      <c r="S43" s="5">
        <v>0</v>
      </c>
      <c r="T43" s="9">
        <v>0</v>
      </c>
    </row>
    <row r="44" spans="1:20" x14ac:dyDescent="0.2">
      <c r="A44" s="1" t="s">
        <v>104</v>
      </c>
      <c r="B44" s="1" t="s">
        <v>105</v>
      </c>
      <c r="C44" s="1" t="s">
        <v>106</v>
      </c>
      <c r="D44" s="2">
        <v>109.25555555555501</v>
      </c>
      <c r="E44" s="2">
        <v>3.14130987491101</v>
      </c>
      <c r="F44" s="2">
        <v>1.4683299999999999</v>
      </c>
      <c r="G44" s="2">
        <v>5.0975082416520499</v>
      </c>
      <c r="H44" s="3">
        <v>-0.38375580264036102</v>
      </c>
      <c r="I44" s="2">
        <v>3.0330011186819799</v>
      </c>
      <c r="J44" s="2">
        <v>0.42876029695921802</v>
      </c>
      <c r="K44" s="2">
        <v>1.0519017090518099</v>
      </c>
      <c r="L44" s="4">
        <v>-0.59239509426626402</v>
      </c>
      <c r="M44" s="2">
        <v>0.33046882945184503</v>
      </c>
      <c r="N44" s="2">
        <v>0.99519475236448596</v>
      </c>
      <c r="O44" s="2">
        <v>1.7173548255872999</v>
      </c>
      <c r="P44" s="2">
        <v>3.2893750071321599</v>
      </c>
      <c r="Q44" s="3">
        <v>-0.47790847140758702</v>
      </c>
      <c r="R44" s="2">
        <v>343.20555555555501</v>
      </c>
      <c r="S44" s="2">
        <v>43.05</v>
      </c>
      <c r="T44" s="8">
        <v>12.5435032455444</v>
      </c>
    </row>
    <row r="45" spans="1:20" x14ac:dyDescent="0.2">
      <c r="A45" t="s">
        <v>107</v>
      </c>
      <c r="B45" t="s">
        <v>108</v>
      </c>
      <c r="C45" t="s">
        <v>106</v>
      </c>
      <c r="D45" s="5">
        <v>153.58888888888799</v>
      </c>
      <c r="E45" s="5">
        <v>3.1941872241915599</v>
      </c>
      <c r="F45" s="5">
        <v>1.40154</v>
      </c>
      <c r="G45" s="5">
        <v>5.0053512988627498</v>
      </c>
      <c r="H45" s="6">
        <v>-0.36184554620226</v>
      </c>
      <c r="I45" s="5">
        <v>3.04714967807277</v>
      </c>
      <c r="J45" s="5">
        <v>0.45297692252043598</v>
      </c>
      <c r="K45" s="5">
        <v>1.01337529788938</v>
      </c>
      <c r="L45" s="7">
        <v>-0.55300181140799498</v>
      </c>
      <c r="M45" s="5">
        <v>0.30593937640164898</v>
      </c>
      <c r="N45" s="5">
        <v>0.90224625623959998</v>
      </c>
      <c r="O45" s="5">
        <v>1.8389640454315199</v>
      </c>
      <c r="P45" s="5">
        <v>3.2732835357459198</v>
      </c>
      <c r="Q45" s="6">
        <v>-0.43818980991133</v>
      </c>
      <c r="R45" s="5">
        <v>490.59166666666601</v>
      </c>
      <c r="S45" s="5">
        <v>68.997222222222206</v>
      </c>
      <c r="T45" s="9">
        <v>14.064083617853701</v>
      </c>
    </row>
    <row r="46" spans="1:20" x14ac:dyDescent="0.2">
      <c r="A46" s="1" t="s">
        <v>109</v>
      </c>
      <c r="B46" s="1" t="s">
        <v>110</v>
      </c>
      <c r="C46" s="1" t="s">
        <v>46</v>
      </c>
      <c r="D46" s="2">
        <v>106.14444444444401</v>
      </c>
      <c r="E46" s="2">
        <v>1.9191876897309701</v>
      </c>
      <c r="F46" s="2">
        <v>1.39598</v>
      </c>
      <c r="G46" s="2">
        <v>4.9975805988060698</v>
      </c>
      <c r="H46" s="3">
        <v>-0.61597664073902603</v>
      </c>
      <c r="I46" s="2">
        <v>1.81898356537213</v>
      </c>
      <c r="J46" s="2">
        <v>0.245841097037579</v>
      </c>
      <c r="K46" s="2">
        <v>1.0101643562481699</v>
      </c>
      <c r="L46" s="4">
        <v>-0.75663257615755597</v>
      </c>
      <c r="M46" s="2">
        <v>0.19420810216685799</v>
      </c>
      <c r="N46" s="2">
        <v>0.59536271328378498</v>
      </c>
      <c r="O46" s="2">
        <v>1.0779838794095999</v>
      </c>
      <c r="P46" s="2">
        <v>3.27189722362355</v>
      </c>
      <c r="Q46" s="3">
        <v>-0.67053247527874205</v>
      </c>
      <c r="R46" s="2">
        <v>203.71111111111099</v>
      </c>
      <c r="S46" s="2">
        <v>0</v>
      </c>
      <c r="T46" s="8">
        <v>0</v>
      </c>
    </row>
    <row r="47" spans="1:20" x14ac:dyDescent="0.2">
      <c r="A47" t="s">
        <v>111</v>
      </c>
      <c r="B47" t="s">
        <v>112</v>
      </c>
      <c r="C47" t="s">
        <v>22</v>
      </c>
      <c r="D47" s="5">
        <v>78.122222222222206</v>
      </c>
      <c r="E47" s="5">
        <v>2.9636353292561499</v>
      </c>
      <c r="F47" s="5">
        <v>1.28033</v>
      </c>
      <c r="G47" s="5">
        <v>4.8321111771140899</v>
      </c>
      <c r="H47" s="6">
        <v>-0.386678985514125</v>
      </c>
      <c r="I47" s="5">
        <v>2.8423154601052398</v>
      </c>
      <c r="J47" s="5">
        <v>0.57320011378182301</v>
      </c>
      <c r="K47" s="5">
        <v>0.943232562180226</v>
      </c>
      <c r="L47" s="7">
        <v>-0.39230245353605497</v>
      </c>
      <c r="M47" s="5">
        <v>0.45188024463092002</v>
      </c>
      <c r="N47" s="5">
        <v>0.61163988052908502</v>
      </c>
      <c r="O47" s="5">
        <v>1.7787953349452399</v>
      </c>
      <c r="P47" s="5">
        <v>3.2411755694018698</v>
      </c>
      <c r="Q47" s="6">
        <v>-0.45118821956519201</v>
      </c>
      <c r="R47" s="5">
        <v>231.52577777777699</v>
      </c>
      <c r="S47" s="5">
        <v>0</v>
      </c>
      <c r="T47" s="9">
        <v>0</v>
      </c>
    </row>
    <row r="48" spans="1:20" x14ac:dyDescent="0.2">
      <c r="A48" s="1" t="s">
        <v>113</v>
      </c>
      <c r="B48" s="1" t="s">
        <v>114</v>
      </c>
      <c r="C48" s="1" t="s">
        <v>25</v>
      </c>
      <c r="D48" s="2">
        <v>120.888888888888</v>
      </c>
      <c r="E48" s="2">
        <v>2.7993336397058801</v>
      </c>
      <c r="F48" s="2">
        <v>1.4340200000000001</v>
      </c>
      <c r="G48" s="2">
        <v>5.0504359943060804</v>
      </c>
      <c r="H48" s="3">
        <v>-0.44572436065680598</v>
      </c>
      <c r="I48" s="2">
        <v>2.7211626838235299</v>
      </c>
      <c r="J48" s="2">
        <v>0.52642463235294101</v>
      </c>
      <c r="K48" s="2">
        <v>1.0321209866763701</v>
      </c>
      <c r="L48" s="4">
        <v>-0.48995840686455999</v>
      </c>
      <c r="M48" s="2">
        <v>0.47026654411764701</v>
      </c>
      <c r="N48" s="2">
        <v>0.57070312499999998</v>
      </c>
      <c r="O48" s="2">
        <v>1.70220588235294</v>
      </c>
      <c r="P48" s="2">
        <v>3.2812347895377401</v>
      </c>
      <c r="Q48" s="3">
        <v>-0.48123008820324398</v>
      </c>
      <c r="R48" s="2">
        <v>338.40833333333302</v>
      </c>
      <c r="S48" s="2">
        <v>4.5944444444444397</v>
      </c>
      <c r="T48" s="8">
        <v>1.3576629154456701</v>
      </c>
    </row>
    <row r="49" spans="1:20" x14ac:dyDescent="0.2">
      <c r="A49" t="s">
        <v>115</v>
      </c>
      <c r="B49" t="s">
        <v>24</v>
      </c>
      <c r="C49" t="s">
        <v>25</v>
      </c>
      <c r="D49" s="5">
        <v>108.64444444444401</v>
      </c>
      <c r="E49" s="5">
        <v>3.3425618735937799</v>
      </c>
      <c r="F49" s="5">
        <v>1.5858099999999999</v>
      </c>
      <c r="G49" s="5">
        <v>5.2547639762554699</v>
      </c>
      <c r="H49" s="6">
        <v>-0.36389876144814398</v>
      </c>
      <c r="I49" s="5">
        <v>3.1658386173041499</v>
      </c>
      <c r="J49" s="5">
        <v>0.49312129269789301</v>
      </c>
      <c r="K49" s="5">
        <v>1.1194795051272299</v>
      </c>
      <c r="L49" s="7">
        <v>-0.55950842294174297</v>
      </c>
      <c r="M49" s="5">
        <v>0.31639803640826297</v>
      </c>
      <c r="N49" s="5">
        <v>0.72067396195541</v>
      </c>
      <c r="O49" s="5">
        <v>2.1287666189404701</v>
      </c>
      <c r="P49" s="5">
        <v>3.3154699772431502</v>
      </c>
      <c r="Q49" s="6">
        <v>-0.35792915226137301</v>
      </c>
      <c r="R49" s="5">
        <v>363.15077777777702</v>
      </c>
      <c r="S49" s="5">
        <v>14.458222222222201</v>
      </c>
      <c r="T49" s="9">
        <v>3.9813276211870301</v>
      </c>
    </row>
    <row r="50" spans="1:20" x14ac:dyDescent="0.2">
      <c r="A50" s="1" t="s">
        <v>116</v>
      </c>
      <c r="B50" s="1" t="s">
        <v>56</v>
      </c>
      <c r="C50" s="1" t="s">
        <v>36</v>
      </c>
      <c r="D50" s="2">
        <v>113.788888888888</v>
      </c>
      <c r="E50" s="2">
        <v>3.4372375744556098</v>
      </c>
      <c r="F50" s="2">
        <v>1.6129599999999999</v>
      </c>
      <c r="G50" s="2">
        <v>5.2903127213663801</v>
      </c>
      <c r="H50" s="3">
        <v>-0.35027705251272001</v>
      </c>
      <c r="I50" s="2">
        <v>3.2572649155355902</v>
      </c>
      <c r="J50" s="2">
        <v>0.62225368616346</v>
      </c>
      <c r="K50" s="2">
        <v>1.1350654915809599</v>
      </c>
      <c r="L50" s="4">
        <v>-0.45179049950962502</v>
      </c>
      <c r="M50" s="2">
        <v>0.48758910262669602</v>
      </c>
      <c r="N50" s="2">
        <v>0.78200078117371297</v>
      </c>
      <c r="O50" s="2">
        <v>2.0329831071184401</v>
      </c>
      <c r="P50" s="2">
        <v>3.32115225565886</v>
      </c>
      <c r="Q50" s="3">
        <v>-0.38786814014489202</v>
      </c>
      <c r="R50" s="2">
        <v>391.11944444444401</v>
      </c>
      <c r="S50" s="2">
        <v>0</v>
      </c>
      <c r="T50" s="8">
        <v>0</v>
      </c>
    </row>
    <row r="51" spans="1:20" x14ac:dyDescent="0.2">
      <c r="A51" t="s">
        <v>117</v>
      </c>
      <c r="B51" t="s">
        <v>118</v>
      </c>
      <c r="C51" t="s">
        <v>36</v>
      </c>
      <c r="D51" s="5">
        <v>181.988888888888</v>
      </c>
      <c r="E51" s="5">
        <v>3.1460864521643499</v>
      </c>
      <c r="F51" s="5">
        <v>1.52579</v>
      </c>
      <c r="G51" s="5">
        <v>5.1751480439969697</v>
      </c>
      <c r="H51" s="6">
        <v>-0.39207798010460199</v>
      </c>
      <c r="I51" s="5">
        <v>2.9806612125282301</v>
      </c>
      <c r="J51" s="5">
        <v>0.41544050308321601</v>
      </c>
      <c r="K51" s="5">
        <v>1.0849828381575199</v>
      </c>
      <c r="L51" s="7">
        <v>-0.61709947063429904</v>
      </c>
      <c r="M51" s="5">
        <v>0.31158800903596001</v>
      </c>
      <c r="N51" s="5">
        <v>0.81264118688564602</v>
      </c>
      <c r="O51" s="5">
        <v>1.9180047621954901</v>
      </c>
      <c r="P51" s="5">
        <v>3.3024612779065299</v>
      </c>
      <c r="Q51" s="6">
        <v>-0.41921960598691999</v>
      </c>
      <c r="R51" s="5">
        <v>572.55277777777701</v>
      </c>
      <c r="S51" s="5">
        <v>0</v>
      </c>
      <c r="T51" s="9">
        <v>0</v>
      </c>
    </row>
    <row r="52" spans="1:20" x14ac:dyDescent="0.2">
      <c r="A52" s="1" t="s">
        <v>119</v>
      </c>
      <c r="B52" s="1" t="s">
        <v>120</v>
      </c>
      <c r="C52" s="1" t="s">
        <v>46</v>
      </c>
      <c r="D52" s="2">
        <v>58.6111111111111</v>
      </c>
      <c r="E52" s="2">
        <v>3.1072796208530802</v>
      </c>
      <c r="F52" s="2">
        <v>1.6033200000000001</v>
      </c>
      <c r="G52" s="2">
        <v>5.2777226879141104</v>
      </c>
      <c r="H52" s="3">
        <v>-0.41124613690509099</v>
      </c>
      <c r="I52" s="2">
        <v>2.8935165876777198</v>
      </c>
      <c r="J52" s="2">
        <v>0.83499526066350704</v>
      </c>
      <c r="K52" s="2">
        <v>1.12953274885946</v>
      </c>
      <c r="L52" s="4">
        <v>-0.26076046798409902</v>
      </c>
      <c r="M52" s="2">
        <v>0.62123222748815099</v>
      </c>
      <c r="N52" s="2">
        <v>0.65370616113743996</v>
      </c>
      <c r="O52" s="2">
        <v>1.61857819905213</v>
      </c>
      <c r="P52" s="2">
        <v>3.3191484269287401</v>
      </c>
      <c r="Q52" s="3">
        <v>-0.51235136521151903</v>
      </c>
      <c r="R52" s="2">
        <v>182.12111111111099</v>
      </c>
      <c r="S52" s="2">
        <v>0</v>
      </c>
      <c r="T52" s="8">
        <v>0</v>
      </c>
    </row>
    <row r="53" spans="1:20" x14ac:dyDescent="0.2">
      <c r="A53" t="s">
        <v>121</v>
      </c>
      <c r="B53" t="s">
        <v>29</v>
      </c>
      <c r="C53" t="s">
        <v>25</v>
      </c>
      <c r="D53" s="5">
        <v>140.877777777777</v>
      </c>
      <c r="E53" s="5">
        <v>3.20261534821358</v>
      </c>
      <c r="F53" s="5">
        <v>1.2138599999999999</v>
      </c>
      <c r="G53" s="5">
        <v>4.7332874809647896</v>
      </c>
      <c r="H53" s="6">
        <v>-0.323384569161899</v>
      </c>
      <c r="I53" s="5">
        <v>3.1088303493966398</v>
      </c>
      <c r="J53" s="5">
        <v>0.70338749112706</v>
      </c>
      <c r="K53" s="5">
        <v>0.90462792569793604</v>
      </c>
      <c r="L53" s="7">
        <v>-0.22245658005263899</v>
      </c>
      <c r="M53" s="5">
        <v>0.60960249231011898</v>
      </c>
      <c r="N53" s="5">
        <v>0.57657859452638205</v>
      </c>
      <c r="O53" s="5">
        <v>1.9226492625601299</v>
      </c>
      <c r="P53" s="5">
        <v>3.2216074120330398</v>
      </c>
      <c r="Q53" s="6">
        <v>-0.40320187513263001</v>
      </c>
      <c r="R53" s="5">
        <v>451.17733333333302</v>
      </c>
      <c r="S53" s="5">
        <v>8</v>
      </c>
      <c r="T53" s="9">
        <v>1.77313872150787</v>
      </c>
    </row>
    <row r="54" spans="1:20" x14ac:dyDescent="0.2">
      <c r="A54" s="1" t="s">
        <v>122</v>
      </c>
      <c r="B54" s="1" t="s">
        <v>123</v>
      </c>
      <c r="C54" s="1" t="s">
        <v>36</v>
      </c>
      <c r="D54" s="2">
        <v>60.088888888888803</v>
      </c>
      <c r="E54" s="2">
        <v>3.9395543639053199</v>
      </c>
      <c r="F54" s="2">
        <v>1.32623</v>
      </c>
      <c r="G54" s="2">
        <v>4.8986992452673102</v>
      </c>
      <c r="H54" s="3">
        <v>-0.195795829329311</v>
      </c>
      <c r="I54" s="2">
        <v>3.3024241863905299</v>
      </c>
      <c r="J54" s="2">
        <v>1.2409023668639001</v>
      </c>
      <c r="K54" s="2">
        <v>0.96983076954386704</v>
      </c>
      <c r="L54" s="4">
        <v>0.27950401846657003</v>
      </c>
      <c r="M54" s="2">
        <v>0.60377218934911203</v>
      </c>
      <c r="N54" s="2">
        <v>0.446216715976331</v>
      </c>
      <c r="O54" s="2">
        <v>2.2524352810650798</v>
      </c>
      <c r="P54" s="2">
        <v>3.2538259581624498</v>
      </c>
      <c r="Q54" s="3">
        <v>-0.30775791021806298</v>
      </c>
      <c r="R54" s="2">
        <v>236.723444444444</v>
      </c>
      <c r="S54" s="2">
        <v>0.58611111111111103</v>
      </c>
      <c r="T54" s="8">
        <v>0.24759318304388001</v>
      </c>
    </row>
    <row r="55" spans="1:20" x14ac:dyDescent="0.2">
      <c r="A55" t="s">
        <v>124</v>
      </c>
      <c r="B55" t="s">
        <v>125</v>
      </c>
      <c r="C55" t="s">
        <v>25</v>
      </c>
      <c r="D55" s="5">
        <v>172.988888888888</v>
      </c>
      <c r="E55" s="5">
        <v>3.0878829725736998</v>
      </c>
      <c r="F55" s="5">
        <v>1.47448</v>
      </c>
      <c r="G55" s="5">
        <v>5.1058880815016296</v>
      </c>
      <c r="H55" s="6">
        <v>-0.39523097191241902</v>
      </c>
      <c r="I55" s="5">
        <v>3.0107906737748</v>
      </c>
      <c r="J55" s="5">
        <v>0.38565418459759698</v>
      </c>
      <c r="K55" s="5">
        <v>1.0554451374595999</v>
      </c>
      <c r="L55" s="7">
        <v>-0.63460518134950605</v>
      </c>
      <c r="M55" s="5">
        <v>0.309284475560408</v>
      </c>
      <c r="N55" s="5">
        <v>0.81516153895561605</v>
      </c>
      <c r="O55" s="5">
        <v>1.8870672490204801</v>
      </c>
      <c r="P55" s="5">
        <v>3.2908074313193598</v>
      </c>
      <c r="Q55" s="6">
        <v>-0.42656406112954498</v>
      </c>
      <c r="R55" s="5">
        <v>534.16944444444403</v>
      </c>
      <c r="S55" s="5">
        <v>5.4416666666666602</v>
      </c>
      <c r="T55" s="9">
        <v>1.0187154512976999</v>
      </c>
    </row>
    <row r="56" spans="1:20" x14ac:dyDescent="0.2">
      <c r="A56" s="1" t="s">
        <v>126</v>
      </c>
      <c r="B56" s="1" t="s">
        <v>127</v>
      </c>
      <c r="C56" s="1" t="s">
        <v>25</v>
      </c>
      <c r="D56" s="2">
        <v>113.544444444444</v>
      </c>
      <c r="E56" s="2">
        <v>3.8803698992073499</v>
      </c>
      <c r="F56" s="2">
        <v>2.0599400000000001</v>
      </c>
      <c r="G56" s="2">
        <v>5.8416855380274297</v>
      </c>
      <c r="H56" s="3">
        <v>-0.335744816466508</v>
      </c>
      <c r="I56" s="2">
        <v>3.83858498874645</v>
      </c>
      <c r="J56" s="2">
        <v>1.3218269889421601</v>
      </c>
      <c r="K56" s="2">
        <v>1.3902566253233699</v>
      </c>
      <c r="L56" s="4">
        <v>-4.9220866949863697E-2</v>
      </c>
      <c r="M56" s="2">
        <v>1.2800420784812601</v>
      </c>
      <c r="N56" s="2">
        <v>0.22083863391721301</v>
      </c>
      <c r="O56" s="2">
        <v>2.3377042763479698</v>
      </c>
      <c r="P56" s="2">
        <v>3.4010329476112302</v>
      </c>
      <c r="Q56" s="3">
        <v>-0.312648741615425</v>
      </c>
      <c r="R56" s="2">
        <v>440.59444444444398</v>
      </c>
      <c r="S56" s="2">
        <v>84.094444444444406</v>
      </c>
      <c r="T56" s="8">
        <v>19.086587564779901</v>
      </c>
    </row>
    <row r="57" spans="1:20" x14ac:dyDescent="0.2">
      <c r="A57" t="s">
        <v>128</v>
      </c>
      <c r="B57" t="s">
        <v>125</v>
      </c>
      <c r="C57" t="s">
        <v>25</v>
      </c>
      <c r="D57" s="5">
        <v>190.555555555555</v>
      </c>
      <c r="E57" s="5">
        <v>3.5458903790087399</v>
      </c>
      <c r="F57" s="5">
        <v>1.24017</v>
      </c>
      <c r="G57" s="5">
        <v>4.77276204397028</v>
      </c>
      <c r="H57" s="6">
        <v>-0.25705695227599201</v>
      </c>
      <c r="I57" s="5">
        <v>3.3934927113702602</v>
      </c>
      <c r="J57" s="5">
        <v>0.62570612244897905</v>
      </c>
      <c r="K57" s="5">
        <v>0.91992112428263795</v>
      </c>
      <c r="L57" s="7">
        <v>-0.31982633517964898</v>
      </c>
      <c r="M57" s="5">
        <v>0.47330845481049499</v>
      </c>
      <c r="N57" s="5">
        <v>0.67451545189504303</v>
      </c>
      <c r="O57" s="5">
        <v>2.24566880466472</v>
      </c>
      <c r="P57" s="5">
        <v>3.2295436418143102</v>
      </c>
      <c r="Q57" s="6">
        <v>-0.30464825568880199</v>
      </c>
      <c r="R57" s="5">
        <v>675.68911111111095</v>
      </c>
      <c r="S57" s="5">
        <v>189.94555555555499</v>
      </c>
      <c r="T57" s="9">
        <v>28.111383242983798</v>
      </c>
    </row>
    <row r="58" spans="1:20" x14ac:dyDescent="0.2">
      <c r="A58" s="1" t="s">
        <v>129</v>
      </c>
      <c r="B58" s="1" t="s">
        <v>130</v>
      </c>
      <c r="C58" s="1" t="s">
        <v>25</v>
      </c>
      <c r="D58" s="2">
        <v>283.86666666666599</v>
      </c>
      <c r="E58" s="2">
        <v>3.6910208235478299</v>
      </c>
      <c r="F58" s="2">
        <v>1.3734999999999999</v>
      </c>
      <c r="G58" s="2">
        <v>4.9659990963392797</v>
      </c>
      <c r="H58" s="3">
        <v>-0.25674154345523498</v>
      </c>
      <c r="I58" s="2">
        <v>3.5790539376859201</v>
      </c>
      <c r="J58" s="2">
        <v>0.57716925003914099</v>
      </c>
      <c r="K58" s="2">
        <v>0.99717583019964495</v>
      </c>
      <c r="L58" s="4">
        <v>-0.42119610949295999</v>
      </c>
      <c r="M58" s="2">
        <v>0.46642594332237303</v>
      </c>
      <c r="N58" s="2">
        <v>0.67291803663691796</v>
      </c>
      <c r="O58" s="2">
        <v>2.4409335368717699</v>
      </c>
      <c r="P58" s="2">
        <v>3.2662135412540301</v>
      </c>
      <c r="Q58" s="3">
        <v>-0.25267178460885398</v>
      </c>
      <c r="R58" s="2">
        <v>1047.7577777777699</v>
      </c>
      <c r="S58" s="2">
        <v>68.179222222222194</v>
      </c>
      <c r="T58" s="8">
        <v>6.5071549616005404</v>
      </c>
    </row>
    <row r="59" spans="1:20" x14ac:dyDescent="0.2">
      <c r="A59" t="s">
        <v>131</v>
      </c>
      <c r="B59" t="s">
        <v>132</v>
      </c>
      <c r="C59" t="s">
        <v>36</v>
      </c>
      <c r="D59" s="5">
        <v>33.533333333333303</v>
      </c>
      <c r="E59" s="5">
        <v>4.3056693174287597</v>
      </c>
      <c r="F59" s="5">
        <v>1.2782800000000001</v>
      </c>
      <c r="G59" s="5">
        <v>4.8291070162378302</v>
      </c>
      <c r="H59" s="6">
        <v>-0.108392234226538</v>
      </c>
      <c r="I59" s="5">
        <v>3.9989264413518799</v>
      </c>
      <c r="J59" s="5">
        <v>1.0608846918489001</v>
      </c>
      <c r="K59" s="5">
        <v>0.942043524829418</v>
      </c>
      <c r="L59" s="7">
        <v>0.12615252256100001</v>
      </c>
      <c r="M59" s="5">
        <v>0.75414181577203399</v>
      </c>
      <c r="N59" s="5">
        <v>1.02931742876076</v>
      </c>
      <c r="O59" s="5">
        <v>2.21546719681908</v>
      </c>
      <c r="P59" s="5">
        <v>3.2405950913013202</v>
      </c>
      <c r="Q59" s="6">
        <v>-0.31633939619114099</v>
      </c>
      <c r="R59" s="5">
        <v>144.383444444444</v>
      </c>
      <c r="S59" s="5">
        <v>3.3333333333333298E-2</v>
      </c>
      <c r="T59" s="9">
        <v>2.30866727564179E-2</v>
      </c>
    </row>
    <row r="60" spans="1:20" x14ac:dyDescent="0.2">
      <c r="A60" s="1" t="s">
        <v>133</v>
      </c>
      <c r="B60" s="1" t="s">
        <v>21</v>
      </c>
      <c r="C60" s="1" t="s">
        <v>22</v>
      </c>
      <c r="D60" s="2">
        <v>129.25555555555499</v>
      </c>
      <c r="E60" s="2">
        <v>4.2459786813375704</v>
      </c>
      <c r="F60" s="2">
        <v>1.5093300000000001</v>
      </c>
      <c r="G60" s="2">
        <v>5.1530544517568702</v>
      </c>
      <c r="H60" s="3">
        <v>-0.17602681650492599</v>
      </c>
      <c r="I60" s="2">
        <v>4.1493896673257096</v>
      </c>
      <c r="J60" s="2">
        <v>0.54668787071262703</v>
      </c>
      <c r="K60" s="2">
        <v>1.07551215723328</v>
      </c>
      <c r="L60" s="4">
        <v>-0.49169531275317202</v>
      </c>
      <c r="M60" s="2">
        <v>0.506425685549729</v>
      </c>
      <c r="N60" s="2">
        <v>0.91832029571047802</v>
      </c>
      <c r="O60" s="2">
        <v>2.7809705149144599</v>
      </c>
      <c r="P60" s="2">
        <v>3.2987789878962501</v>
      </c>
      <c r="Q60" s="3">
        <v>-0.156969737858071</v>
      </c>
      <c r="R60" s="2">
        <v>548.81633333333298</v>
      </c>
      <c r="S60" s="2">
        <v>383.88022222222202</v>
      </c>
      <c r="T60" s="8">
        <v>69.946938330107102</v>
      </c>
    </row>
    <row r="61" spans="1:20" x14ac:dyDescent="0.2">
      <c r="A61" t="s">
        <v>134</v>
      </c>
      <c r="B61" t="s">
        <v>31</v>
      </c>
      <c r="C61" t="s">
        <v>25</v>
      </c>
      <c r="D61" s="5">
        <v>119.033333333333</v>
      </c>
      <c r="E61" s="5">
        <v>9.8391206944833307</v>
      </c>
      <c r="F61" s="5">
        <v>2.6088300000000002</v>
      </c>
      <c r="G61" s="5">
        <v>6.4554586826599003</v>
      </c>
      <c r="H61" s="6">
        <v>0.52415516513370697</v>
      </c>
      <c r="I61" s="5">
        <v>9.6409409129095494</v>
      </c>
      <c r="J61" s="5">
        <v>5.7973116774012796</v>
      </c>
      <c r="K61" s="5">
        <v>1.7008302883956099</v>
      </c>
      <c r="L61" s="7">
        <v>2.4085186023291398</v>
      </c>
      <c r="M61" s="5">
        <v>5.5991318958274903</v>
      </c>
      <c r="N61" s="5">
        <v>0.22868477550639399</v>
      </c>
      <c r="O61" s="5">
        <v>3.8131242415756499</v>
      </c>
      <c r="P61" s="5">
        <v>3.4763663002917999</v>
      </c>
      <c r="Q61" s="6">
        <v>9.68706724764824E-2</v>
      </c>
      <c r="R61" s="5">
        <v>1171.18333333333</v>
      </c>
      <c r="S61" s="5">
        <v>236.004444444444</v>
      </c>
      <c r="T61" s="9">
        <v>20.150939458192799</v>
      </c>
    </row>
    <row r="62" spans="1:20" x14ac:dyDescent="0.2">
      <c r="A62" s="1" t="s">
        <v>135</v>
      </c>
      <c r="B62" s="1" t="s">
        <v>29</v>
      </c>
      <c r="C62" s="1" t="s">
        <v>25</v>
      </c>
      <c r="D62" s="2">
        <v>150.78888888888801</v>
      </c>
      <c r="E62" s="2">
        <v>3.5154697516763602</v>
      </c>
      <c r="F62" s="2">
        <v>1.85006</v>
      </c>
      <c r="G62" s="2">
        <v>5.5899801168956103</v>
      </c>
      <c r="H62" s="3">
        <v>-0.37111229768940901</v>
      </c>
      <c r="I62" s="2">
        <v>3.3195740918134198</v>
      </c>
      <c r="J62" s="2">
        <v>0.53743276103455895</v>
      </c>
      <c r="K62" s="2">
        <v>1.2707361379197699</v>
      </c>
      <c r="L62" s="4">
        <v>-0.57706974327939398</v>
      </c>
      <c r="M62" s="2">
        <v>0.34153710117161501</v>
      </c>
      <c r="N62" s="2">
        <v>0.85472257018642595</v>
      </c>
      <c r="O62" s="2">
        <v>2.12331442045538</v>
      </c>
      <c r="P62" s="2">
        <v>3.3663163842247399</v>
      </c>
      <c r="Q62" s="3">
        <v>-0.36924692212363702</v>
      </c>
      <c r="R62" s="2">
        <v>530.09377777777695</v>
      </c>
      <c r="S62" s="2">
        <v>16.983333333333299</v>
      </c>
      <c r="T62" s="8">
        <v>3.2038356315989298</v>
      </c>
    </row>
    <row r="63" spans="1:20" x14ac:dyDescent="0.2">
      <c r="A63" t="s">
        <v>136</v>
      </c>
      <c r="B63" t="s">
        <v>48</v>
      </c>
      <c r="C63" t="s">
        <v>46</v>
      </c>
      <c r="D63" s="5">
        <v>146.544444444444</v>
      </c>
      <c r="E63" s="5">
        <v>3.7360156190764999</v>
      </c>
      <c r="F63" s="5">
        <v>1.24882</v>
      </c>
      <c r="G63" s="5">
        <v>4.7856354056400603</v>
      </c>
      <c r="H63" s="6">
        <v>-0.219327152529535</v>
      </c>
      <c r="I63" s="5">
        <v>3.5460504966259698</v>
      </c>
      <c r="J63" s="5">
        <v>0.42358025627416701</v>
      </c>
      <c r="K63" s="5">
        <v>0.92494537794348597</v>
      </c>
      <c r="L63" s="7">
        <v>-0.54204835617866198</v>
      </c>
      <c r="M63" s="5">
        <v>0.33204943513534002</v>
      </c>
      <c r="N63" s="5">
        <v>1.1330093259534399</v>
      </c>
      <c r="O63" s="5">
        <v>2.1794260368488798</v>
      </c>
      <c r="P63" s="5">
        <v>3.2320966323299301</v>
      </c>
      <c r="Q63" s="6">
        <v>-0.32569279796631601</v>
      </c>
      <c r="R63" s="5">
        <v>547.49233333333302</v>
      </c>
      <c r="S63" s="5">
        <v>11.978999999999999</v>
      </c>
      <c r="T63" s="9">
        <v>2.1879758438017598</v>
      </c>
    </row>
    <row r="64" spans="1:20" x14ac:dyDescent="0.2">
      <c r="A64" s="1" t="s">
        <v>137</v>
      </c>
      <c r="B64" s="1" t="s">
        <v>138</v>
      </c>
      <c r="C64" s="1" t="s">
        <v>46</v>
      </c>
      <c r="D64" s="2">
        <v>144.766666666666</v>
      </c>
      <c r="E64" s="2">
        <v>3.5946565354209801</v>
      </c>
      <c r="F64" s="2">
        <v>1.33673</v>
      </c>
      <c r="G64" s="2">
        <v>4.9137564799982396</v>
      </c>
      <c r="H64" s="3">
        <v>-0.26845041058642999</v>
      </c>
      <c r="I64" s="2">
        <v>3.3744454678025901</v>
      </c>
      <c r="J64" s="2">
        <v>0.54962007828689796</v>
      </c>
      <c r="K64" s="2">
        <v>0.97590889023618199</v>
      </c>
      <c r="L64" s="4">
        <v>-0.43681210020139899</v>
      </c>
      <c r="M64" s="2">
        <v>0.42828306086422502</v>
      </c>
      <c r="N64" s="2">
        <v>1.0337923094635</v>
      </c>
      <c r="O64" s="2">
        <v>2.0112441476705798</v>
      </c>
      <c r="P64" s="2">
        <v>3.2566311185800698</v>
      </c>
      <c r="Q64" s="3">
        <v>-0.38241573133787898</v>
      </c>
      <c r="R64" s="2">
        <v>520.38644444444401</v>
      </c>
      <c r="S64" s="2">
        <v>5.6255555555555503</v>
      </c>
      <c r="T64" s="8">
        <v>1.0810342228574501</v>
      </c>
    </row>
    <row r="65" spans="1:20" x14ac:dyDescent="0.2">
      <c r="A65" t="s">
        <v>139</v>
      </c>
      <c r="B65" t="s">
        <v>71</v>
      </c>
      <c r="C65" t="s">
        <v>60</v>
      </c>
      <c r="D65" s="5">
        <v>102.45555555555499</v>
      </c>
      <c r="E65" s="5">
        <v>3.96526840906626</v>
      </c>
      <c r="F65" s="5">
        <v>1.4843900000000001</v>
      </c>
      <c r="G65" s="5">
        <v>5.1193551902887799</v>
      </c>
      <c r="H65" s="6">
        <v>-0.22543596572704599</v>
      </c>
      <c r="I65" s="5">
        <v>3.7678928532697098</v>
      </c>
      <c r="J65" s="5">
        <v>0.65048367855980904</v>
      </c>
      <c r="K65" s="5">
        <v>1.06115355890596</v>
      </c>
      <c r="L65" s="7">
        <v>-0.38700325405264902</v>
      </c>
      <c r="M65" s="5">
        <v>0.49431840364385599</v>
      </c>
      <c r="N65" s="5">
        <v>1.2599522828326599</v>
      </c>
      <c r="O65" s="5">
        <v>2.05483244767378</v>
      </c>
      <c r="P65" s="5">
        <v>3.2930991307331898</v>
      </c>
      <c r="Q65" s="6">
        <v>-0.37601864805803997</v>
      </c>
      <c r="R65" s="5">
        <v>406.26377777777702</v>
      </c>
      <c r="S65" s="5">
        <v>20.286555555555498</v>
      </c>
      <c r="T65" s="9">
        <v>4.9934443248967399</v>
      </c>
    </row>
    <row r="66" spans="1:20" x14ac:dyDescent="0.2">
      <c r="A66" s="1" t="s">
        <v>140</v>
      </c>
      <c r="B66" s="1" t="s">
        <v>141</v>
      </c>
      <c r="C66" s="1" t="s">
        <v>25</v>
      </c>
      <c r="D66" s="2">
        <v>115.75555555555501</v>
      </c>
      <c r="E66" s="2">
        <v>3.7040506815127601</v>
      </c>
      <c r="F66" s="2">
        <v>1.48123</v>
      </c>
      <c r="G66" s="2">
        <v>5.1150657313638401</v>
      </c>
      <c r="H66" s="3">
        <v>-0.27585472483749601</v>
      </c>
      <c r="I66" s="2">
        <v>3.6719523900940598</v>
      </c>
      <c r="J66" s="2">
        <v>0.73893261662507204</v>
      </c>
      <c r="K66" s="2">
        <v>1.05933350163144</v>
      </c>
      <c r="L66" s="4">
        <v>-0.302455161205547</v>
      </c>
      <c r="M66" s="2">
        <v>0.70683432520637302</v>
      </c>
      <c r="N66" s="2">
        <v>0.80632559032443796</v>
      </c>
      <c r="O66" s="2">
        <v>2.1587924745632501</v>
      </c>
      <c r="P66" s="2">
        <v>3.2923705665420302</v>
      </c>
      <c r="Q66" s="3">
        <v>-0.34430452741210499</v>
      </c>
      <c r="R66" s="2">
        <v>428.764444444444</v>
      </c>
      <c r="S66" s="2">
        <v>5.7955555555555502</v>
      </c>
      <c r="T66" s="8">
        <v>1.3516875362799501</v>
      </c>
    </row>
    <row r="67" spans="1:20" x14ac:dyDescent="0.2">
      <c r="A67" t="s">
        <v>142</v>
      </c>
      <c r="B67" t="s">
        <v>91</v>
      </c>
      <c r="C67" t="s">
        <v>60</v>
      </c>
      <c r="D67" s="5">
        <v>245.47777777777699</v>
      </c>
      <c r="E67" s="5">
        <v>3.3129918978861999</v>
      </c>
      <c r="F67" s="5">
        <v>1.6209</v>
      </c>
      <c r="G67" s="5">
        <v>5.3006564084061596</v>
      </c>
      <c r="H67" s="6">
        <v>-0.37498459763733599</v>
      </c>
      <c r="I67" s="5">
        <v>3.17030190558095</v>
      </c>
      <c r="J67" s="5">
        <v>0.53603675372289805</v>
      </c>
      <c r="K67" s="5">
        <v>1.13962149169731</v>
      </c>
      <c r="L67" s="7">
        <v>-0.529636148819425</v>
      </c>
      <c r="M67" s="5">
        <v>0.41543520572126902</v>
      </c>
      <c r="N67" s="5">
        <v>0.91942651518580498</v>
      </c>
      <c r="O67" s="5">
        <v>1.8575286289774999</v>
      </c>
      <c r="P67" s="5">
        <v>3.32279158043008</v>
      </c>
      <c r="Q67" s="6">
        <v>-0.440973475460331</v>
      </c>
      <c r="R67" s="5">
        <v>813.26588888888796</v>
      </c>
      <c r="S67" s="5">
        <v>5.1970000000000001</v>
      </c>
      <c r="T67" s="9">
        <v>0.63902840030587205</v>
      </c>
    </row>
    <row r="68" spans="1:20" x14ac:dyDescent="0.2">
      <c r="A68" s="1" t="s">
        <v>143</v>
      </c>
      <c r="B68" s="1" t="s">
        <v>45</v>
      </c>
      <c r="C68" s="1" t="s">
        <v>46</v>
      </c>
      <c r="D68" s="2">
        <v>112.45555555555499</v>
      </c>
      <c r="E68" s="2">
        <v>2.4427724533148898</v>
      </c>
      <c r="F68" s="2">
        <v>1.34182</v>
      </c>
      <c r="G68" s="2">
        <v>4.9210330315493902</v>
      </c>
      <c r="H68" s="3">
        <v>-0.50360575967404497</v>
      </c>
      <c r="I68" s="2">
        <v>2.3367552613378102</v>
      </c>
      <c r="J68" s="2">
        <v>0.42726015215887703</v>
      </c>
      <c r="K68" s="2">
        <v>0.97885449473807495</v>
      </c>
      <c r="L68" s="4">
        <v>-0.56351004724843701</v>
      </c>
      <c r="M68" s="2">
        <v>0.36195534038138499</v>
      </c>
      <c r="N68" s="2">
        <v>0.58710008892401899</v>
      </c>
      <c r="O68" s="2">
        <v>1.42841221223199</v>
      </c>
      <c r="P68" s="2">
        <v>3.2579796680404001</v>
      </c>
      <c r="Q68" s="3">
        <v>-0.56156503177591999</v>
      </c>
      <c r="R68" s="2">
        <v>274.70333333333298</v>
      </c>
      <c r="S68" s="2">
        <v>0</v>
      </c>
      <c r="T68" s="8">
        <v>0</v>
      </c>
    </row>
    <row r="69" spans="1:20" x14ac:dyDescent="0.2">
      <c r="A69" t="s">
        <v>144</v>
      </c>
      <c r="B69" t="s">
        <v>145</v>
      </c>
      <c r="C69" t="s">
        <v>46</v>
      </c>
      <c r="D69" s="5">
        <v>96.677777777777706</v>
      </c>
      <c r="E69" s="5">
        <v>2.7176680841282601</v>
      </c>
      <c r="F69" s="5">
        <v>1.2430399999999999</v>
      </c>
      <c r="G69" s="5">
        <v>4.7770389531219797</v>
      </c>
      <c r="H69" s="6">
        <v>-0.43109777609157601</v>
      </c>
      <c r="I69" s="5">
        <v>2.5670325249971202</v>
      </c>
      <c r="J69" s="5">
        <v>0.31312492816917598</v>
      </c>
      <c r="K69" s="5">
        <v>0.92158833213077396</v>
      </c>
      <c r="L69" s="7">
        <v>-0.66023340655234797</v>
      </c>
      <c r="M69" s="5">
        <v>0.27574416733708701</v>
      </c>
      <c r="N69" s="5">
        <v>0.65483047925525795</v>
      </c>
      <c r="O69" s="5">
        <v>1.74971267670382</v>
      </c>
      <c r="P69" s="5">
        <v>3.2303937022103999</v>
      </c>
      <c r="Q69" s="6">
        <v>-0.45835930911251399</v>
      </c>
      <c r="R69" s="5">
        <v>262.73811111111098</v>
      </c>
      <c r="S69" s="5">
        <v>0</v>
      </c>
      <c r="T69" s="9">
        <v>0</v>
      </c>
    </row>
    <row r="70" spans="1:20" x14ac:dyDescent="0.2">
      <c r="A70" s="1" t="s">
        <v>146</v>
      </c>
      <c r="B70" s="1" t="s">
        <v>147</v>
      </c>
      <c r="C70" s="1" t="s">
        <v>25</v>
      </c>
      <c r="D70" s="2">
        <v>86.744444444444397</v>
      </c>
      <c r="E70" s="2">
        <v>3.2731458947098702</v>
      </c>
      <c r="F70" s="2">
        <v>1.4996</v>
      </c>
      <c r="G70" s="2">
        <v>5.1399395597830697</v>
      </c>
      <c r="H70" s="3">
        <v>-0.36319369972357801</v>
      </c>
      <c r="I70" s="2">
        <v>3.07963366209811</v>
      </c>
      <c r="J70" s="2">
        <v>0.48423850390675</v>
      </c>
      <c r="K70" s="2">
        <v>1.0699116108506601</v>
      </c>
      <c r="L70" s="4">
        <v>-0.54740326303988396</v>
      </c>
      <c r="M70" s="2">
        <v>0.29072627129499101</v>
      </c>
      <c r="N70" s="2">
        <v>0.88202894837965895</v>
      </c>
      <c r="O70" s="2">
        <v>1.9068784424234599</v>
      </c>
      <c r="P70" s="2">
        <v>3.2965777249827699</v>
      </c>
      <c r="Q70" s="3">
        <v>-0.42155817289779401</v>
      </c>
      <c r="R70" s="2">
        <v>283.92722222222199</v>
      </c>
      <c r="S70" s="2">
        <v>1.5249999999999999</v>
      </c>
      <c r="T70" s="8">
        <v>0.53710947054115898</v>
      </c>
    </row>
    <row r="71" spans="1:20" x14ac:dyDescent="0.2">
      <c r="A71" t="s">
        <v>148</v>
      </c>
      <c r="B71" t="s">
        <v>75</v>
      </c>
      <c r="C71" t="s">
        <v>25</v>
      </c>
      <c r="D71" s="5">
        <v>149.30000000000001</v>
      </c>
      <c r="E71" s="5">
        <v>3.1211728808513799</v>
      </c>
      <c r="F71" s="5">
        <v>1.43493</v>
      </c>
      <c r="G71" s="5">
        <v>5.0516916869266302</v>
      </c>
      <c r="H71" s="6">
        <v>-0.38215293523777</v>
      </c>
      <c r="I71" s="5">
        <v>2.8975857706333201</v>
      </c>
      <c r="J71" s="5">
        <v>0.52942323435290595</v>
      </c>
      <c r="K71" s="5">
        <v>1.03264590489005</v>
      </c>
      <c r="L71" s="7">
        <v>-0.48731386833972601</v>
      </c>
      <c r="M71" s="5">
        <v>0.38221775693979299</v>
      </c>
      <c r="N71" s="5">
        <v>0.71365185681327603</v>
      </c>
      <c r="O71" s="5">
        <v>1.87809778968519</v>
      </c>
      <c r="P71" s="5">
        <v>3.2814540443624698</v>
      </c>
      <c r="Q71" s="6">
        <v>-0.427662931037609</v>
      </c>
      <c r="R71" s="5">
        <v>465.99111111111102</v>
      </c>
      <c r="S71" s="5">
        <v>20.039666666666601</v>
      </c>
      <c r="T71" s="9">
        <v>4.3004396841141403</v>
      </c>
    </row>
    <row r="72" spans="1:20" x14ac:dyDescent="0.2">
      <c r="A72" s="1" t="s">
        <v>149</v>
      </c>
      <c r="B72" s="1" t="s">
        <v>79</v>
      </c>
      <c r="C72" s="1" t="s">
        <v>46</v>
      </c>
      <c r="D72" s="2">
        <v>155.25555555555499</v>
      </c>
      <c r="E72" s="2">
        <v>3.2644414227438601</v>
      </c>
      <c r="F72" s="2">
        <v>1.50657</v>
      </c>
      <c r="G72" s="2">
        <v>5.1493384654859504</v>
      </c>
      <c r="H72" s="3">
        <v>-0.366046445650413</v>
      </c>
      <c r="I72" s="2">
        <v>3.1499706576969801</v>
      </c>
      <c r="J72" s="2">
        <v>0.38567523080226102</v>
      </c>
      <c r="K72" s="2">
        <v>1.0739236759848301</v>
      </c>
      <c r="L72" s="4">
        <v>-0.64087277389747299</v>
      </c>
      <c r="M72" s="2">
        <v>0.27120446575538498</v>
      </c>
      <c r="N72" s="2">
        <v>0.90750017891648105</v>
      </c>
      <c r="O72" s="2">
        <v>1.9712660130251201</v>
      </c>
      <c r="P72" s="2">
        <v>3.2981564572673401</v>
      </c>
      <c r="Q72" s="3">
        <v>-0.40231276515657</v>
      </c>
      <c r="R72" s="2">
        <v>506.82266666666601</v>
      </c>
      <c r="S72" s="2">
        <v>0</v>
      </c>
      <c r="T72" s="8">
        <v>0</v>
      </c>
    </row>
    <row r="73" spans="1:20" x14ac:dyDescent="0.2">
      <c r="A73" t="s">
        <v>150</v>
      </c>
      <c r="B73" t="s">
        <v>151</v>
      </c>
      <c r="C73" t="s">
        <v>54</v>
      </c>
      <c r="D73" s="5">
        <v>228.63333333333301</v>
      </c>
      <c r="E73" s="5">
        <v>2.64839383778004</v>
      </c>
      <c r="F73" s="5">
        <v>1.4149400000000001</v>
      </c>
      <c r="G73" s="5">
        <v>5.0240149239682896</v>
      </c>
      <c r="H73" s="6">
        <v>-0.47285311093618798</v>
      </c>
      <c r="I73" s="5">
        <v>2.5406764834523901</v>
      </c>
      <c r="J73" s="5">
        <v>0.41949749720561702</v>
      </c>
      <c r="K73" s="5">
        <v>1.02111146127708</v>
      </c>
      <c r="L73" s="7">
        <v>-0.58917560607833896</v>
      </c>
      <c r="M73" s="5">
        <v>0.31178014287797001</v>
      </c>
      <c r="N73" s="5">
        <v>0.69809739029012896</v>
      </c>
      <c r="O73" s="5">
        <v>1.53079895028429</v>
      </c>
      <c r="P73" s="5">
        <v>3.2765939504590502</v>
      </c>
      <c r="Q73" s="6">
        <v>-0.53280785674714704</v>
      </c>
      <c r="R73" s="5">
        <v>605.51111111111095</v>
      </c>
      <c r="S73" s="5">
        <v>0</v>
      </c>
      <c r="T73" s="9">
        <v>0</v>
      </c>
    </row>
    <row r="74" spans="1:20" x14ac:dyDescent="0.2">
      <c r="A74" s="1" t="s">
        <v>152</v>
      </c>
      <c r="B74" s="1" t="s">
        <v>153</v>
      </c>
      <c r="C74" s="1" t="s">
        <v>46</v>
      </c>
      <c r="D74" s="2">
        <v>112.333333333333</v>
      </c>
      <c r="E74" s="2">
        <v>2.7629327398615202</v>
      </c>
      <c r="F74" s="2">
        <v>1.4255</v>
      </c>
      <c r="G74" s="2">
        <v>5.0386599354944597</v>
      </c>
      <c r="H74" s="3">
        <v>-0.45165326193215499</v>
      </c>
      <c r="I74" s="2">
        <v>2.5630811078140399</v>
      </c>
      <c r="J74" s="2">
        <v>0.42994559841740798</v>
      </c>
      <c r="K74" s="2">
        <v>1.0272056237781899</v>
      </c>
      <c r="L74" s="4">
        <v>-0.58144154542688897</v>
      </c>
      <c r="M74" s="2">
        <v>0.23009396636992999</v>
      </c>
      <c r="N74" s="2">
        <v>1.0377349159248199</v>
      </c>
      <c r="O74" s="2">
        <v>1.29525222551928</v>
      </c>
      <c r="P74" s="2">
        <v>3.2791728483084199</v>
      </c>
      <c r="Q74" s="3">
        <v>-0.60500641916834297</v>
      </c>
      <c r="R74" s="2">
        <v>310.36944444444401</v>
      </c>
      <c r="S74" s="2">
        <v>0</v>
      </c>
      <c r="T74" s="8">
        <v>0</v>
      </c>
    </row>
    <row r="75" spans="1:20" x14ac:dyDescent="0.2">
      <c r="A75" t="s">
        <v>154</v>
      </c>
      <c r="B75" t="s">
        <v>155</v>
      </c>
      <c r="C75" t="s">
        <v>25</v>
      </c>
      <c r="D75" s="5">
        <v>153.51111111111101</v>
      </c>
      <c r="E75" s="5">
        <v>3.2952779386218798</v>
      </c>
      <c r="F75" s="5">
        <v>1.5587200000000001</v>
      </c>
      <c r="G75" s="5">
        <v>5.21900911851007</v>
      </c>
      <c r="H75" s="6">
        <v>-0.36860084667515802</v>
      </c>
      <c r="I75" s="5">
        <v>3.1182303126809399</v>
      </c>
      <c r="J75" s="5">
        <v>0.52548711638679702</v>
      </c>
      <c r="K75" s="5">
        <v>1.10391658064415</v>
      </c>
      <c r="L75" s="7">
        <v>-0.523979324524532</v>
      </c>
      <c r="M75" s="5">
        <v>0.34954690214244299</v>
      </c>
      <c r="N75" s="5">
        <v>0.76781485234510705</v>
      </c>
      <c r="O75" s="5">
        <v>2.0019759698899802</v>
      </c>
      <c r="P75" s="5">
        <v>3.3096772974734399</v>
      </c>
      <c r="Q75" s="6">
        <v>-0.39511445075981899</v>
      </c>
      <c r="R75" s="5">
        <v>505.86177777777698</v>
      </c>
      <c r="S75" s="5">
        <v>24.519222222222201</v>
      </c>
      <c r="T75" s="9">
        <v>4.8470201346173596</v>
      </c>
    </row>
    <row r="76" spans="1:20" x14ac:dyDescent="0.2">
      <c r="A76" s="1" t="s">
        <v>156</v>
      </c>
      <c r="B76" s="1" t="s">
        <v>155</v>
      </c>
      <c r="C76" s="1" t="s">
        <v>25</v>
      </c>
      <c r="D76" s="2">
        <v>14.811111111111099</v>
      </c>
      <c r="E76" s="2">
        <v>5.2932708177044203</v>
      </c>
      <c r="F76" s="2">
        <v>1.41744</v>
      </c>
      <c r="G76" s="2">
        <v>5.0274869969249396</v>
      </c>
      <c r="H76" s="3">
        <v>5.28661378820168E-2</v>
      </c>
      <c r="I76" s="2">
        <v>5.0175768942235504</v>
      </c>
      <c r="J76" s="2">
        <v>2.0987546886721602</v>
      </c>
      <c r="K76" s="2">
        <v>1.02255439760026</v>
      </c>
      <c r="L76" s="4">
        <v>1.0524626304454201</v>
      </c>
      <c r="M76" s="2">
        <v>1.82306076519129</v>
      </c>
      <c r="N76" s="2">
        <v>0</v>
      </c>
      <c r="O76" s="2">
        <v>3.1945161290322499</v>
      </c>
      <c r="P76" s="2">
        <v>3.2772068387492501</v>
      </c>
      <c r="Q76" s="3">
        <v>-2.5232069193581098E-2</v>
      </c>
      <c r="R76" s="2">
        <v>78.399222222222207</v>
      </c>
      <c r="S76" s="2">
        <v>7.9713333333333303</v>
      </c>
      <c r="T76" s="8">
        <v>10.167617876027601</v>
      </c>
    </row>
    <row r="77" spans="1:20" x14ac:dyDescent="0.2">
      <c r="A77" t="s">
        <v>157</v>
      </c>
      <c r="B77" t="s">
        <v>158</v>
      </c>
      <c r="C77" t="s">
        <v>25</v>
      </c>
      <c r="D77" s="5">
        <v>279.08888888888799</v>
      </c>
      <c r="E77" s="5">
        <v>3.76063261406162</v>
      </c>
      <c r="F77" s="5">
        <v>1.3695600000000001</v>
      </c>
      <c r="G77" s="5">
        <v>4.96043645370374</v>
      </c>
      <c r="H77" s="6">
        <v>-0.24187465172470299</v>
      </c>
      <c r="I77" s="5">
        <v>3.3643729596305398</v>
      </c>
      <c r="J77" s="5">
        <v>0.77008519786607199</v>
      </c>
      <c r="K77" s="5">
        <v>0.99489833992707999</v>
      </c>
      <c r="L77" s="7">
        <v>-0.225965943492765</v>
      </c>
      <c r="M77" s="5">
        <v>0.37382554343498597</v>
      </c>
      <c r="N77" s="5">
        <v>0.49872800382195998</v>
      </c>
      <c r="O77" s="5">
        <v>2.4918194123735899</v>
      </c>
      <c r="P77" s="5">
        <v>3.2652040780575899</v>
      </c>
      <c r="Q77" s="6">
        <v>-0.23685645588929599</v>
      </c>
      <c r="R77" s="5">
        <v>1049.55077777777</v>
      </c>
      <c r="S77" s="5">
        <v>280.77</v>
      </c>
      <c r="T77" s="9">
        <v>26.751445089152899</v>
      </c>
    </row>
    <row r="78" spans="1:20" x14ac:dyDescent="0.2">
      <c r="A78" s="1" t="s">
        <v>159</v>
      </c>
      <c r="B78" s="1" t="s">
        <v>160</v>
      </c>
      <c r="C78" s="1" t="s">
        <v>25</v>
      </c>
      <c r="D78" s="2">
        <v>74.811111111111103</v>
      </c>
      <c r="E78" s="2">
        <v>4.1094608643992201</v>
      </c>
      <c r="F78" s="2">
        <v>1.4316899999999999</v>
      </c>
      <c r="G78" s="2">
        <v>5.0472190463366804</v>
      </c>
      <c r="H78" s="3">
        <v>-0.185797004910672</v>
      </c>
      <c r="I78" s="2">
        <v>3.6914079904945698</v>
      </c>
      <c r="J78" s="2">
        <v>0.93554136343383298</v>
      </c>
      <c r="K78" s="2">
        <v>1.0307768955893899</v>
      </c>
      <c r="L78" s="4">
        <v>-9.23919934207557E-2</v>
      </c>
      <c r="M78" s="2">
        <v>0.51748848952918403</v>
      </c>
      <c r="N78" s="2">
        <v>0.820362394177929</v>
      </c>
      <c r="O78" s="2">
        <v>2.3535571067874601</v>
      </c>
      <c r="P78" s="2">
        <v>3.2806725460587201</v>
      </c>
      <c r="Q78" s="3">
        <v>-0.28259920069897299</v>
      </c>
      <c r="R78" s="2">
        <v>307.433333333333</v>
      </c>
      <c r="S78" s="2">
        <v>56.561111111111103</v>
      </c>
      <c r="T78" s="8">
        <v>18.397845964798101</v>
      </c>
    </row>
    <row r="79" spans="1:20" x14ac:dyDescent="0.2">
      <c r="A79" t="s">
        <v>161</v>
      </c>
      <c r="B79" t="s">
        <v>162</v>
      </c>
      <c r="C79" t="s">
        <v>25</v>
      </c>
      <c r="D79" s="5">
        <v>284.57777777777699</v>
      </c>
      <c r="E79" s="5">
        <v>2.7391386849914099</v>
      </c>
      <c r="F79" s="5">
        <v>1.5662799999999999</v>
      </c>
      <c r="G79" s="5">
        <v>5.2290164223776401</v>
      </c>
      <c r="H79" s="6">
        <v>-0.47616559908490003</v>
      </c>
      <c r="I79" s="5">
        <v>2.5861615648914502</v>
      </c>
      <c r="J79" s="5">
        <v>0.48753943464001198</v>
      </c>
      <c r="K79" s="5">
        <v>1.1082608851893401</v>
      </c>
      <c r="L79" s="7">
        <v>-0.56008604006924101</v>
      </c>
      <c r="M79" s="5">
        <v>0.33456231454005902</v>
      </c>
      <c r="N79" s="5">
        <v>0.66583905981571101</v>
      </c>
      <c r="O79" s="5">
        <v>1.58576019053568</v>
      </c>
      <c r="P79" s="5">
        <v>3.3113065707599199</v>
      </c>
      <c r="Q79" s="6">
        <v>-0.52110740680475098</v>
      </c>
      <c r="R79" s="5">
        <v>779.49800000000005</v>
      </c>
      <c r="S79" s="5">
        <v>52.810555555555503</v>
      </c>
      <c r="T79" s="9">
        <v>6.77494433026839</v>
      </c>
    </row>
    <row r="80" spans="1:20" x14ac:dyDescent="0.2">
      <c r="A80" s="1" t="s">
        <v>163</v>
      </c>
      <c r="B80" s="1" t="s">
        <v>62</v>
      </c>
      <c r="C80" s="1" t="s">
        <v>63</v>
      </c>
      <c r="D80" s="2">
        <v>130.74444444444401</v>
      </c>
      <c r="E80" s="2">
        <v>3.5563159683861598</v>
      </c>
      <c r="F80" s="2">
        <v>1.51176</v>
      </c>
      <c r="G80" s="2">
        <v>5.1563234187789497</v>
      </c>
      <c r="H80" s="3">
        <v>-0.31030005692926099</v>
      </c>
      <c r="I80" s="2">
        <v>3.4217022180674701</v>
      </c>
      <c r="J80" s="2">
        <v>0.35249001444718198</v>
      </c>
      <c r="K80" s="2">
        <v>1.0769106050500801</v>
      </c>
      <c r="L80" s="4">
        <v>-0.67268405307347801</v>
      </c>
      <c r="M80" s="2">
        <v>0.25798844225376</v>
      </c>
      <c r="N80" s="2">
        <v>0.95924364748873903</v>
      </c>
      <c r="O80" s="2">
        <v>2.2445823064502402</v>
      </c>
      <c r="P80" s="2">
        <v>3.2993258649024</v>
      </c>
      <c r="Q80" s="3">
        <v>-0.31968456637530701</v>
      </c>
      <c r="R80" s="2">
        <v>464.96855555555499</v>
      </c>
      <c r="S80" s="2">
        <v>49.0942222222222</v>
      </c>
      <c r="T80" s="8">
        <v>10.558611251370101</v>
      </c>
    </row>
    <row r="81" spans="1:20" x14ac:dyDescent="0.2">
      <c r="A81" t="s">
        <v>164</v>
      </c>
      <c r="B81" t="s">
        <v>79</v>
      </c>
      <c r="C81" t="s">
        <v>46</v>
      </c>
      <c r="D81" s="5">
        <v>182.24444444444401</v>
      </c>
      <c r="E81" s="5">
        <v>3.75127911230337</v>
      </c>
      <c r="F81" s="5">
        <v>1.45869</v>
      </c>
      <c r="G81" s="5">
        <v>5.0843381198924398</v>
      </c>
      <c r="H81" s="6">
        <v>-0.262189291143616</v>
      </c>
      <c r="I81" s="5">
        <v>3.6320314595781</v>
      </c>
      <c r="J81" s="5">
        <v>0.47251737592976401</v>
      </c>
      <c r="K81" s="5">
        <v>1.0463461083322501</v>
      </c>
      <c r="L81" s="7">
        <v>-0.54841197174909895</v>
      </c>
      <c r="M81" s="5">
        <v>0.388417875868796</v>
      </c>
      <c r="N81" s="5">
        <v>1.1086806487013701</v>
      </c>
      <c r="O81" s="5">
        <v>2.1700810876722301</v>
      </c>
      <c r="P81" s="5">
        <v>3.2871136644134502</v>
      </c>
      <c r="Q81" s="6">
        <v>-0.33982170705999498</v>
      </c>
      <c r="R81" s="5">
        <v>683.64977777777699</v>
      </c>
      <c r="S81" s="5">
        <v>8.7750000000000004</v>
      </c>
      <c r="T81" s="9">
        <v>1.2835519421250099</v>
      </c>
    </row>
    <row r="82" spans="1:20" x14ac:dyDescent="0.2">
      <c r="A82" s="1" t="s">
        <v>165</v>
      </c>
      <c r="B82" s="1" t="s">
        <v>155</v>
      </c>
      <c r="C82" s="1" t="s">
        <v>25</v>
      </c>
      <c r="D82" s="2">
        <v>23.3666666666666</v>
      </c>
      <c r="E82" s="2">
        <v>7.8900665715644296</v>
      </c>
      <c r="F82" s="2">
        <v>3.1638799999999998</v>
      </c>
      <c r="G82" s="2">
        <v>7.0283412039144801</v>
      </c>
      <c r="H82" s="3">
        <v>0.122607218780157</v>
      </c>
      <c r="I82" s="2">
        <v>7.5786780789348498</v>
      </c>
      <c r="J82" s="2">
        <v>5.1061103185924797</v>
      </c>
      <c r="K82" s="2">
        <v>2.01259899969478</v>
      </c>
      <c r="L82" s="4">
        <v>1.5370728691442399</v>
      </c>
      <c r="M82" s="2">
        <v>4.7947218259629096</v>
      </c>
      <c r="N82" s="2">
        <v>0</v>
      </c>
      <c r="O82" s="2">
        <v>2.7839562529719402</v>
      </c>
      <c r="P82" s="2">
        <v>3.5377670813003799</v>
      </c>
      <c r="Q82" s="3">
        <v>-0.21307531304501801</v>
      </c>
      <c r="R82" s="2">
        <v>184.364555555555</v>
      </c>
      <c r="S82" s="2">
        <v>0</v>
      </c>
      <c r="T82" s="8">
        <v>0</v>
      </c>
    </row>
    <row r="83" spans="1:20" x14ac:dyDescent="0.2">
      <c r="A83" t="s">
        <v>166</v>
      </c>
      <c r="B83" t="s">
        <v>56</v>
      </c>
      <c r="C83" t="s">
        <v>36</v>
      </c>
      <c r="D83" s="5">
        <v>225.68888888888799</v>
      </c>
      <c r="E83" s="5">
        <v>3.9092531508467898</v>
      </c>
      <c r="F83" s="5">
        <v>1.34334</v>
      </c>
      <c r="G83" s="5">
        <v>4.9232031548397401</v>
      </c>
      <c r="H83" s="6">
        <v>-0.205953313747816</v>
      </c>
      <c r="I83" s="5">
        <v>3.7888071090980699</v>
      </c>
      <c r="J83" s="5">
        <v>0.44961106734935002</v>
      </c>
      <c r="K83" s="5">
        <v>0.97973402006291899</v>
      </c>
      <c r="L83" s="7">
        <v>-0.54108864432361303</v>
      </c>
      <c r="M83" s="5">
        <v>0.32916502560062999</v>
      </c>
      <c r="N83" s="5">
        <v>0.71851614808979902</v>
      </c>
      <c r="O83" s="5">
        <v>2.74112593540764</v>
      </c>
      <c r="P83" s="5">
        <v>3.2583809693436399</v>
      </c>
      <c r="Q83" s="6">
        <v>-0.15874602718423</v>
      </c>
      <c r="R83" s="5">
        <v>882.27499999999998</v>
      </c>
      <c r="S83" s="5">
        <v>24.322222222222202</v>
      </c>
      <c r="T83" s="9">
        <v>2.7567620324980502</v>
      </c>
    </row>
    <row r="84" spans="1:20" x14ac:dyDescent="0.2">
      <c r="A84" s="1" t="s">
        <v>167</v>
      </c>
      <c r="B84" s="1" t="s">
        <v>168</v>
      </c>
      <c r="C84" s="1" t="s">
        <v>25</v>
      </c>
      <c r="D84" s="2">
        <v>46.6111111111111</v>
      </c>
      <c r="E84" s="2">
        <v>5.0110226460071496</v>
      </c>
      <c r="F84" s="2">
        <v>1.6346700000000001</v>
      </c>
      <c r="G84" s="2">
        <v>5.3185398421001704</v>
      </c>
      <c r="H84" s="3">
        <v>-5.7819853798743097E-2</v>
      </c>
      <c r="I84" s="2">
        <v>4.3447651966626903</v>
      </c>
      <c r="J84" s="2">
        <v>0.91356376638855696</v>
      </c>
      <c r="K84" s="2">
        <v>1.14752053862334</v>
      </c>
      <c r="L84" s="4">
        <v>-0.203880248204934</v>
      </c>
      <c r="M84" s="2">
        <v>0.2473063170441</v>
      </c>
      <c r="N84" s="2">
        <v>0.78461025029797304</v>
      </c>
      <c r="O84" s="2">
        <v>3.3128486293206101</v>
      </c>
      <c r="P84" s="2">
        <v>3.3256111863759199</v>
      </c>
      <c r="Q84" s="3">
        <v>-3.8376576033859501E-3</v>
      </c>
      <c r="R84" s="2">
        <v>233.56933333333299</v>
      </c>
      <c r="S84" s="2">
        <v>0</v>
      </c>
      <c r="T84" s="8">
        <v>0</v>
      </c>
    </row>
    <row r="85" spans="1:20" x14ac:dyDescent="0.2">
      <c r="A85" t="s">
        <v>169</v>
      </c>
      <c r="B85" t="s">
        <v>170</v>
      </c>
      <c r="C85" t="s">
        <v>51</v>
      </c>
      <c r="D85" s="5">
        <v>185.45555555555501</v>
      </c>
      <c r="E85" s="5">
        <v>3.3014990114432901</v>
      </c>
      <c r="F85" s="5">
        <v>1.7146999999999999</v>
      </c>
      <c r="G85" s="5">
        <v>5.4211484221421697</v>
      </c>
      <c r="H85" s="6">
        <v>-0.39099638040555501</v>
      </c>
      <c r="I85" s="5">
        <v>3.1490815409502102</v>
      </c>
      <c r="J85" s="5">
        <v>0.37511652986639499</v>
      </c>
      <c r="K85" s="5">
        <v>1.1933750009441499</v>
      </c>
      <c r="L85" s="7">
        <v>-0.68566751476307197</v>
      </c>
      <c r="M85" s="5">
        <v>0.250498472230543</v>
      </c>
      <c r="N85" s="5">
        <v>0.96933976394464005</v>
      </c>
      <c r="O85" s="5">
        <v>1.95704271763225</v>
      </c>
      <c r="P85" s="5">
        <v>3.34144375922049</v>
      </c>
      <c r="Q85" s="6">
        <v>-0.41431223786666199</v>
      </c>
      <c r="R85" s="5">
        <v>612.28133333333301</v>
      </c>
      <c r="S85" s="5">
        <v>16.383333333333301</v>
      </c>
      <c r="T85" s="9">
        <v>2.6757852054937699</v>
      </c>
    </row>
    <row r="86" spans="1:20" x14ac:dyDescent="0.2">
      <c r="A86" s="1" t="s">
        <v>171</v>
      </c>
      <c r="B86" s="1" t="s">
        <v>99</v>
      </c>
      <c r="C86" s="1" t="s">
        <v>51</v>
      </c>
      <c r="D86" s="2">
        <v>71.2</v>
      </c>
      <c r="E86" s="2">
        <v>3.55329275905118</v>
      </c>
      <c r="F86" s="2">
        <v>1.38218</v>
      </c>
      <c r="G86" s="2">
        <v>4.9782247410710996</v>
      </c>
      <c r="H86" s="3">
        <v>-0.28623295574906699</v>
      </c>
      <c r="I86" s="2">
        <v>3.3227465667915101</v>
      </c>
      <c r="J86" s="2">
        <v>0.44364388264669102</v>
      </c>
      <c r="K86" s="2">
        <v>1.0021921530840501</v>
      </c>
      <c r="L86" s="4">
        <v>-0.55732652537593397</v>
      </c>
      <c r="M86" s="2">
        <v>0.319892322097378</v>
      </c>
      <c r="N86" s="2">
        <v>0.93521535580524295</v>
      </c>
      <c r="O86" s="2">
        <v>2.17443352059925</v>
      </c>
      <c r="P86" s="2">
        <v>3.2684232878099002</v>
      </c>
      <c r="Q86" s="3">
        <v>-0.334714836750448</v>
      </c>
      <c r="R86" s="2">
        <v>252.99444444444401</v>
      </c>
      <c r="S86" s="2">
        <v>0</v>
      </c>
      <c r="T86" s="8">
        <v>0</v>
      </c>
    </row>
    <row r="87" spans="1:20" x14ac:dyDescent="0.2">
      <c r="A87" t="s">
        <v>172</v>
      </c>
      <c r="B87" t="s">
        <v>29</v>
      </c>
      <c r="C87" t="s">
        <v>25</v>
      </c>
      <c r="D87" s="5">
        <v>162.266666666666</v>
      </c>
      <c r="E87" s="5">
        <v>4.1436291427006298</v>
      </c>
      <c r="F87" s="5">
        <v>1.62696</v>
      </c>
      <c r="G87" s="5">
        <v>5.30853524995422</v>
      </c>
      <c r="H87" s="6">
        <v>-0.21944021324218199</v>
      </c>
      <c r="I87" s="5">
        <v>3.8547760887428102</v>
      </c>
      <c r="J87" s="5">
        <v>0.975029443987948</v>
      </c>
      <c r="K87" s="5">
        <v>1.14309810724576</v>
      </c>
      <c r="L87" s="7">
        <v>-0.14702908017472499</v>
      </c>
      <c r="M87" s="5">
        <v>0.68617639003012798</v>
      </c>
      <c r="N87" s="5">
        <v>0.66990208162147302</v>
      </c>
      <c r="O87" s="5">
        <v>2.4986976170911999</v>
      </c>
      <c r="P87" s="5">
        <v>3.32403608071253</v>
      </c>
      <c r="Q87" s="6">
        <v>-0.24829407490799801</v>
      </c>
      <c r="R87" s="5">
        <v>672.37288888888895</v>
      </c>
      <c r="S87" s="5">
        <v>20.8472222222222</v>
      </c>
      <c r="T87" s="9">
        <v>3.1005447374109201</v>
      </c>
    </row>
    <row r="88" spans="1:20" x14ac:dyDescent="0.2">
      <c r="A88" s="1" t="s">
        <v>173</v>
      </c>
      <c r="B88" s="1" t="s">
        <v>174</v>
      </c>
      <c r="C88" s="1" t="s">
        <v>25</v>
      </c>
      <c r="D88" s="2">
        <v>115.433333333333</v>
      </c>
      <c r="E88" s="2">
        <v>3.4633747232649901</v>
      </c>
      <c r="F88" s="2">
        <v>1.64785</v>
      </c>
      <c r="G88" s="2">
        <v>5.3355924313196201</v>
      </c>
      <c r="H88" s="3">
        <v>-0.35089218904067998</v>
      </c>
      <c r="I88" s="2">
        <v>3.3850707479064299</v>
      </c>
      <c r="J88" s="2">
        <v>0.64474444123592201</v>
      </c>
      <c r="K88" s="2">
        <v>1.1550785209641701</v>
      </c>
      <c r="L88" s="4">
        <v>-0.44181765175778698</v>
      </c>
      <c r="M88" s="2">
        <v>0.58987871787467505</v>
      </c>
      <c r="N88" s="2">
        <v>0.63668303012801997</v>
      </c>
      <c r="O88" s="2">
        <v>2.1819472519010401</v>
      </c>
      <c r="P88" s="2">
        <v>3.3282827320556501</v>
      </c>
      <c r="Q88" s="3">
        <v>-0.34442250627145199</v>
      </c>
      <c r="R88" s="2">
        <v>399.78888888888798</v>
      </c>
      <c r="S88" s="2">
        <v>1.4166666666666601</v>
      </c>
      <c r="T88" s="8">
        <v>0.35435368666796302</v>
      </c>
    </row>
    <row r="89" spans="1:20" x14ac:dyDescent="0.2">
      <c r="A89" t="s">
        <v>175</v>
      </c>
      <c r="B89" t="s">
        <v>168</v>
      </c>
      <c r="C89" t="s">
        <v>25</v>
      </c>
      <c r="D89" s="5">
        <v>230.86666666666599</v>
      </c>
      <c r="E89" s="5">
        <v>3.6328212532486202</v>
      </c>
      <c r="F89" s="5">
        <v>1.2465900000000001</v>
      </c>
      <c r="G89" s="5">
        <v>4.7823214571108501</v>
      </c>
      <c r="H89" s="6">
        <v>-0.24036447866820501</v>
      </c>
      <c r="I89" s="5">
        <v>3.61010491866397</v>
      </c>
      <c r="J89" s="5">
        <v>0.65505630955818595</v>
      </c>
      <c r="K89" s="5">
        <v>0.92365028118092596</v>
      </c>
      <c r="L89" s="7">
        <v>-0.29079617805056102</v>
      </c>
      <c r="M89" s="5">
        <v>0.63233997497352901</v>
      </c>
      <c r="N89" s="5">
        <v>0.45691356242179199</v>
      </c>
      <c r="O89" s="5">
        <v>2.5208513812686402</v>
      </c>
      <c r="P89" s="5">
        <v>3.2314410419704598</v>
      </c>
      <c r="Q89" s="6">
        <v>-0.21989869271095</v>
      </c>
      <c r="R89" s="5">
        <v>838.69733333333295</v>
      </c>
      <c r="S89" s="5">
        <v>323.291666666666</v>
      </c>
      <c r="T89" s="9">
        <v>38.546881433588197</v>
      </c>
    </row>
    <row r="90" spans="1:20" x14ac:dyDescent="0.2">
      <c r="A90" s="1" t="s">
        <v>176</v>
      </c>
      <c r="B90" s="1" t="s">
        <v>43</v>
      </c>
      <c r="C90" s="1" t="s">
        <v>25</v>
      </c>
      <c r="D90" s="2">
        <v>84.733333333333306</v>
      </c>
      <c r="E90" s="2">
        <v>3.7055573039601302</v>
      </c>
      <c r="F90" s="2">
        <v>1.4478500000000001</v>
      </c>
      <c r="G90" s="2">
        <v>5.0694769789402496</v>
      </c>
      <c r="H90" s="3">
        <v>-0.269045442093167</v>
      </c>
      <c r="I90" s="2">
        <v>3.5811801730920498</v>
      </c>
      <c r="J90" s="2">
        <v>0.90764883293994203</v>
      </c>
      <c r="K90" s="2">
        <v>1.0400969505959199</v>
      </c>
      <c r="L90" s="4">
        <v>-0.12734208823523099</v>
      </c>
      <c r="M90" s="2">
        <v>0.78327170207185903</v>
      </c>
      <c r="N90" s="2">
        <v>0.59268554943613905</v>
      </c>
      <c r="O90" s="2">
        <v>2.20522292158405</v>
      </c>
      <c r="P90" s="2">
        <v>3.28454698314955</v>
      </c>
      <c r="Q90" s="3">
        <v>-0.32860667455897802</v>
      </c>
      <c r="R90" s="2">
        <v>313.984222222222</v>
      </c>
      <c r="S90" s="2">
        <v>21.272888888888801</v>
      </c>
      <c r="T90" s="8">
        <v>6.7751458141208696</v>
      </c>
    </row>
    <row r="91" spans="1:20" x14ac:dyDescent="0.2">
      <c r="A91" t="s">
        <v>177</v>
      </c>
      <c r="B91" t="s">
        <v>85</v>
      </c>
      <c r="C91" t="s">
        <v>60</v>
      </c>
      <c r="D91" s="5">
        <v>37.066666666666599</v>
      </c>
      <c r="E91" s="5">
        <v>5.7751798561151002</v>
      </c>
      <c r="F91" s="5">
        <v>1.35503</v>
      </c>
      <c r="G91" s="5">
        <v>4.9398500089302599</v>
      </c>
      <c r="H91" s="6">
        <v>0.16910024508329799</v>
      </c>
      <c r="I91" s="5">
        <v>5.3142985611510696</v>
      </c>
      <c r="J91" s="5">
        <v>1.1689148681055099</v>
      </c>
      <c r="K91" s="5">
        <v>0.98649666274044401</v>
      </c>
      <c r="L91" s="7">
        <v>0.184915177369501</v>
      </c>
      <c r="M91" s="5">
        <v>0.82269184652278105</v>
      </c>
      <c r="N91" s="5">
        <v>1.8404526378896799</v>
      </c>
      <c r="O91" s="5">
        <v>2.7658123501199001</v>
      </c>
      <c r="P91" s="5">
        <v>3.26144595667891</v>
      </c>
      <c r="Q91" s="6">
        <v>-0.15196744423866199</v>
      </c>
      <c r="R91" s="5">
        <v>214.06666666666601</v>
      </c>
      <c r="S91" s="5">
        <v>0</v>
      </c>
      <c r="T91" s="9">
        <v>0</v>
      </c>
    </row>
    <row r="92" spans="1:20" x14ac:dyDescent="0.2">
      <c r="A92" s="1" t="s">
        <v>178</v>
      </c>
      <c r="B92" s="1" t="s">
        <v>24</v>
      </c>
      <c r="C92" s="1" t="s">
        <v>25</v>
      </c>
      <c r="D92" s="2">
        <v>187.23333333333301</v>
      </c>
      <c r="E92" s="2">
        <v>3.1623939232092999</v>
      </c>
      <c r="F92" s="2">
        <v>1.5231300000000001</v>
      </c>
      <c r="G92" s="2">
        <v>5.1715854256379199</v>
      </c>
      <c r="H92" s="3">
        <v>-0.38850591009637597</v>
      </c>
      <c r="I92" s="2">
        <v>3.0078713429469999</v>
      </c>
      <c r="J92" s="2">
        <v>0.66823215239451605</v>
      </c>
      <c r="K92" s="2">
        <v>1.0834526451767299</v>
      </c>
      <c r="L92" s="4">
        <v>-0.38323824731120498</v>
      </c>
      <c r="M92" s="2">
        <v>0.51370957213221702</v>
      </c>
      <c r="N92" s="2">
        <v>0.50047949676576997</v>
      </c>
      <c r="O92" s="2">
        <v>1.9936822740490101</v>
      </c>
      <c r="P92" s="2">
        <v>3.3018696876616001</v>
      </c>
      <c r="Q92" s="3">
        <v>-0.39619595482553599</v>
      </c>
      <c r="R92" s="2">
        <v>592.10555555555504</v>
      </c>
      <c r="S92" s="2">
        <v>48.449777777777697</v>
      </c>
      <c r="T92" s="8">
        <v>8.1826250949999508</v>
      </c>
    </row>
    <row r="93" spans="1:20" x14ac:dyDescent="0.2">
      <c r="A93" s="12" t="s">
        <v>179</v>
      </c>
      <c r="B93" s="12" t="s">
        <v>39</v>
      </c>
      <c r="C93" s="12" t="s">
        <v>25</v>
      </c>
      <c r="D93" s="13">
        <v>120.14444444444401</v>
      </c>
      <c r="E93" s="13">
        <v>3.7647276426523599</v>
      </c>
      <c r="F93" s="13">
        <v>1.4622299999999999</v>
      </c>
      <c r="G93" s="13">
        <v>5.0891794317624504</v>
      </c>
      <c r="H93" s="14">
        <v>-0.26024859348522</v>
      </c>
      <c r="I93" s="13">
        <v>3.7195967816517101</v>
      </c>
      <c r="J93" s="13">
        <v>0.617932118745953</v>
      </c>
      <c r="K93" s="13">
        <v>1.0483864278508399</v>
      </c>
      <c r="L93" s="15">
        <v>-0.41058744912151102</v>
      </c>
      <c r="M93" s="13">
        <v>0.57280125774530599</v>
      </c>
      <c r="N93" s="13">
        <v>0.71593452325903995</v>
      </c>
      <c r="O93" s="13">
        <v>2.4308610006473601</v>
      </c>
      <c r="P93" s="13">
        <v>3.2879463704219098</v>
      </c>
      <c r="Q93" s="14">
        <v>-0.26067498469099398</v>
      </c>
      <c r="R93" s="13">
        <v>452.31111111111102</v>
      </c>
      <c r="S93" s="13">
        <v>0</v>
      </c>
      <c r="T93" s="16">
        <v>0</v>
      </c>
    </row>
  </sheetData>
  <conditionalFormatting sqref="H2:H93">
    <cfRule type="colorScale" priority="1">
      <colorScale>
        <cfvo type="min"/>
        <cfvo type="num" val="0"/>
        <cfvo type="max"/>
        <color rgb="FFF8696B"/>
        <color rgb="FFFCFCFF"/>
        <color rgb="FF63BE7B"/>
      </colorScale>
    </cfRule>
  </conditionalFormatting>
  <conditionalFormatting sqref="L2:L93">
    <cfRule type="colorScale" priority="2">
      <colorScale>
        <cfvo type="min"/>
        <cfvo type="num" val="0"/>
        <cfvo type="max"/>
        <color rgb="FFF8696B"/>
        <color rgb="FFFCFCFF"/>
        <color rgb="FF63BE7B"/>
      </colorScale>
    </cfRule>
  </conditionalFormatting>
  <conditionalFormatting sqref="Q2:Q93">
    <cfRule type="colorScale" priority="3">
      <colorScale>
        <cfvo type="min"/>
        <cfvo type="num" val="0"/>
        <cfvo type="max"/>
        <color rgb="FFF8696B"/>
        <color rgb="FFFCFCFF"/>
        <color rgb="FF63BE7B"/>
      </colorScale>
    </cfRule>
  </conditionalFormatting>
  <pageMargins left="0.7" right="0.7" top="0.75" bottom="0.75" header="0.3" footer="0.3"/>
  <drawing r:id="rId1"/>
  <tableParts count="1">
    <tablePart r:id="rId2"/>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CCCFA58-5CF9-2D45-9B97-CFED0E552062}">
  <dimension ref="B2:AS55"/>
  <sheetViews>
    <sheetView zoomScale="85" zoomScaleNormal="85" workbookViewId="0">
      <pane ySplit="2" topLeftCell="A3" activePane="bottomLeft" state="frozen"/>
      <selection activeCell="C40" sqref="C40"/>
      <selection pane="bottomLeft"/>
    </sheetView>
  </sheetViews>
  <sheetFormatPr baseColWidth="10" defaultColWidth="8.83203125" defaultRowHeight="16" x14ac:dyDescent="0.2"/>
  <cols>
    <col min="1" max="1" width="3" style="17" customWidth="1"/>
    <col min="2" max="2" width="45" style="17" customWidth="1"/>
    <col min="3" max="4" width="20.5" style="17" customWidth="1"/>
    <col min="5" max="5" width="19.33203125" style="17" customWidth="1"/>
    <col min="6" max="7" width="9.6640625" style="17" customWidth="1"/>
    <col min="8" max="8" width="11.83203125" style="17" bestFit="1" customWidth="1"/>
    <col min="9" max="11" width="9.6640625" style="17" customWidth="1"/>
    <col min="12" max="12" width="12.1640625" style="17" bestFit="1" customWidth="1"/>
    <col min="13" max="19" width="9.6640625" style="17" customWidth="1"/>
    <col min="20" max="20" width="4.5" style="17" customWidth="1"/>
    <col min="21" max="21" width="9.6640625" style="17" customWidth="1"/>
    <col min="22" max="22" width="9.6640625" style="28" customWidth="1"/>
    <col min="23" max="23" width="11.83203125" style="28" bestFit="1" customWidth="1"/>
    <col min="24" max="26" width="9.6640625" style="17" customWidth="1"/>
    <col min="27" max="27" width="13.33203125" style="17" bestFit="1" customWidth="1"/>
    <col min="28" max="34" width="9.6640625" style="17" customWidth="1"/>
    <col min="35" max="35" width="5.5" style="17" customWidth="1"/>
    <col min="36" max="36" width="35.1640625" style="17" customWidth="1"/>
    <col min="37" max="38" width="12.5" style="17" customWidth="1"/>
    <col min="39" max="39" width="14.5" style="17" bestFit="1" customWidth="1"/>
    <col min="40" max="41" width="8.83203125" style="17"/>
    <col min="42" max="42" width="37.1640625" style="17" customWidth="1"/>
    <col min="43" max="43" width="11.5" style="17" customWidth="1"/>
    <col min="44" max="48" width="8.83203125" style="17"/>
    <col min="49" max="49" width="22.83203125" style="17" customWidth="1"/>
    <col min="50" max="50" width="16.5" style="17" customWidth="1"/>
    <col min="51" max="51" width="13.5" style="17" customWidth="1"/>
    <col min="52" max="16384" width="8.83203125" style="17"/>
  </cols>
  <sheetData>
    <row r="2" spans="2:45" ht="102" x14ac:dyDescent="0.2">
      <c r="B2" s="46" t="s">
        <v>280</v>
      </c>
      <c r="C2" s="46" t="s">
        <v>320</v>
      </c>
      <c r="D2" s="46" t="s">
        <v>279</v>
      </c>
      <c r="E2" s="45"/>
      <c r="F2" s="44" t="s">
        <v>278</v>
      </c>
      <c r="G2" s="44" t="s">
        <v>265</v>
      </c>
      <c r="H2" s="44" t="s">
        <v>276</v>
      </c>
      <c r="I2" s="44" t="s">
        <v>4</v>
      </c>
      <c r="J2" s="43" t="s">
        <v>319</v>
      </c>
      <c r="K2" s="43" t="s">
        <v>6</v>
      </c>
      <c r="L2" s="43" t="s">
        <v>318</v>
      </c>
      <c r="M2" s="44" t="s">
        <v>317</v>
      </c>
      <c r="N2" s="42" t="s">
        <v>316</v>
      </c>
      <c r="O2" s="42" t="s">
        <v>315</v>
      </c>
      <c r="P2" s="72" t="s">
        <v>314</v>
      </c>
      <c r="Q2" s="43" t="s">
        <v>313</v>
      </c>
      <c r="R2" s="72" t="s">
        <v>312</v>
      </c>
      <c r="S2" s="43" t="s">
        <v>311</v>
      </c>
      <c r="T2" s="44"/>
      <c r="U2" s="44" t="s">
        <v>277</v>
      </c>
      <c r="V2" s="44" t="s">
        <v>265</v>
      </c>
      <c r="W2" s="44" t="s">
        <v>276</v>
      </c>
      <c r="X2" s="44" t="s">
        <v>4</v>
      </c>
      <c r="Y2" s="43" t="s">
        <v>319</v>
      </c>
      <c r="Z2" s="43" t="s">
        <v>6</v>
      </c>
      <c r="AA2" s="43" t="s">
        <v>318</v>
      </c>
      <c r="AB2" s="44" t="s">
        <v>317</v>
      </c>
      <c r="AC2" s="44" t="s">
        <v>316</v>
      </c>
      <c r="AD2" s="44" t="s">
        <v>315</v>
      </c>
      <c r="AE2" s="72" t="s">
        <v>314</v>
      </c>
      <c r="AF2" s="43" t="s">
        <v>313</v>
      </c>
      <c r="AG2" s="72" t="s">
        <v>312</v>
      </c>
      <c r="AH2" s="43" t="s">
        <v>311</v>
      </c>
      <c r="AJ2" s="17" t="s">
        <v>275</v>
      </c>
      <c r="AK2" s="17" t="s">
        <v>310</v>
      </c>
      <c r="AL2" s="42" t="s">
        <v>309</v>
      </c>
      <c r="AM2" s="42" t="s">
        <v>197</v>
      </c>
    </row>
    <row r="3" spans="2:45" ht="15" customHeight="1" x14ac:dyDescent="0.2">
      <c r="B3" s="41" t="s">
        <v>4</v>
      </c>
      <c r="C3" s="38">
        <f>SUM([1]!Nurse[Total Nurse Staff Hours])/SUM([1]!Nurse[MDScensus])</f>
        <v>3.7304889992068997</v>
      </c>
      <c r="D3" s="38">
        <f>MEDIAN([1]!Nurse[Total Nurse Staff HPRD])</f>
        <v>3.66873403830806</v>
      </c>
      <c r="E3" s="33"/>
      <c r="F3" s="17">
        <v>1</v>
      </c>
      <c r="G3" s="31">
        <f>SUMIF([1]!Nurse[CMS Region Number], CMSRegion9[[#This Row],[CMS Region Number]], [1]!Nurse[MDScensus])</f>
        <v>72492.855555555303</v>
      </c>
      <c r="H3" s="31">
        <f>COUNTIF([1]!Nurse[CMS Region Number], CMSRegion9[[#This Row],[CMS Region Number]])</f>
        <v>783</v>
      </c>
      <c r="I3" s="30">
        <f>SUMIF([1]!Nurse[CMS Region Number], CMSRegion9[[#This Row],[CMS Region Number]], [1]!Nurse[Total Nurse Staff Hours])/SUMIF([1]!Nurse[CMS Region Number], CMSRegion9[[#This Row],[CMS Region Number]], [1]!Nurse[MDScensus])</f>
        <v>3.8161603082112232</v>
      </c>
      <c r="J3" s="31">
        <f>RANK(CMSRegion9[[#This Row],[Total Nurse Staff HPRD]], CMSRegion9[Total Nurse Staff HPRD])</f>
        <v>3</v>
      </c>
      <c r="K3" s="64" cm="1">
        <f t="array" ref="K3">SUMPRODUCT(
   ([1]!Nurse[CMS Region Number]=CMSRegion9[[#This Row],[CMS Region Number]]) *
   ([1]!Nurse[Expected Total Nurse Staff HPRD]) *
   ([1]!Nurse[MDScensus])
 ) /
 SUMIFS([1]!Nurse[MDScensus], [1]!Nurse[CMS Region Number], CMSRegion9[[#This Row],[CMS Region Number]], [1]!Nurse[Expected Total Nurse Staff HPRD], "&gt;0")</f>
        <v>4.94421130052078</v>
      </c>
      <c r="L3" s="47">
        <f>IF(CMSRegion9[[#This Row],[Expected Total Nurse Staff HPRD]]&lt;&gt;0,
   (CMSRegion9[[#This Row],[Total Nurse Staff HPRD]] - CMSRegion9[[#This Row],[Expected Total Nurse Staff HPRD]]) /
   ABS(CMSRegion9[[#This Row],[Expected Total Nurse Staff HPRD]]),
   "")</f>
        <v>-0.22815590267971309</v>
      </c>
      <c r="M3" s="47">
        <f>COUNTIFS([1]!Nurse[Total Nurse Staff HPRD], "&gt;=4.1", [1]!Nurse[CMS Region Number], CMSRegion9[[#This Row],[CMS Region Number]])/(COUNTIF([1]!Nurse[CMS Region Number], CMSRegion9[[#This Row],[CMS Region Number]]))</f>
        <v>0.27330779054916987</v>
      </c>
      <c r="N3" s="47">
        <f>COUNTIFS([1]!Nurse[Total Nurse Staff HPRD], "&gt;=3.48", [1]!Nurse[CMS Region Number], CMSRegion9[[#This Row],[CMS Region Number]])/(COUNTIF([1]!Nurse[CMS Region Number], CMSRegion9[[#This Row],[CMS Region Number]]))</f>
        <v>0.73690932311621971</v>
      </c>
      <c r="O3" s="47">
        <f>COUNTIFS([1]!Nurse[Total RN Staff HPRD], "&gt;=0.75", [1]!Nurse[CMS Region Number], CMSRegion9[[#This Row],[CMS Region Number]])/(COUNTIF([1]!Nurse[CMS Region Number], CMSRegion9[[#This Row],[CMS Region Number]]))</f>
        <v>0.36143039591315451</v>
      </c>
      <c r="P3" s="48">
        <f>SUMIF([1]!Nurse[CMS Region Number], CMSRegion9[[#This Row],[CMS Region Number]], [1]!Nurse[Total RN Hours (w/ Admin, DON)])/SUMIF([1]!Nurse[CMS Region Number], CMSRegion9[[#This Row],[CMS Region Number]], [1]!Nurse[MDScensus])</f>
        <v>0.66858229094453425</v>
      </c>
      <c r="Q3" s="31">
        <f>RANK(CMSRegion9[[#This Row],[RN Staff HPRD]], CMSRegion9[RN Staff HPRD])</f>
        <v>4</v>
      </c>
      <c r="R3" s="47">
        <f>SUMIF([1]!Nurse[CMS Region Number], CMSRegion9[[#This Row],[CMS Region Number]], [1]!Nurse[Total Contract Hours])/SUMIF([1]!Nurse[CMS Region Number], CMSRegion9[[#This Row],[CMS Region Number]], [1]!Nurse[Total Nurse Staff Hours])</f>
        <v>7.6572337365763715E-2</v>
      </c>
      <c r="S3" s="31">
        <f>RANK(CMSRegion9[[#This Row],[% Contract]],CMSRegion9[% Contract])</f>
        <v>4</v>
      </c>
      <c r="U3" s="29" t="s">
        <v>274</v>
      </c>
      <c r="V3" s="31">
        <f>SUMIF([1]!Nurse[State], State10[[#This Row],[State]], [1]!Nurse[MDScensus])</f>
        <v>720.65555555555488</v>
      </c>
      <c r="W3" s="31">
        <f>COUNTIF([1]!Nurse[State], State10[[#This Row],[State]])</f>
        <v>18</v>
      </c>
      <c r="X3" s="30">
        <f>SUMIF([1]!Nurse[State], State10[[#This Row],[State]], [1]!Nurse[Total Nurse Staff Hours])/SUMIF([1]!Nurse[State], State10[[#This Row],[State]], [1]!Nurse[MDScensus])</f>
        <v>6.1574583326909105</v>
      </c>
      <c r="Y3" s="28">
        <f>RANK(State10[[#This Row],[Total Nurse Staff HPRD]], State10[Total Nurse Staff HPRD])</f>
        <v>1</v>
      </c>
      <c r="Z3" s="48" cm="1">
        <f t="array" ref="Z3">SUMPRODUCT(
   ([1]!Nurse[State]=State10[[#This Row],[State]]) *
   ([1]!Nurse[Expected Total Nurse Staff HPRD]) *
   ([1]!Nurse[MDScensus])
 ) /
 SUMIFS([1]!Nurse[MDScensus], [1]!Nurse[State], State10[[#This Row],[State]], [1]!Nurse[Expected Total Nurse Staff HPRD], "&gt;0")</f>
        <v>4.9383565770760995</v>
      </c>
      <c r="AA3" s="71">
        <f>IF(State10[[#This Row],[Expected Total Nurse Staff HPRD]]&lt;&gt;0,
   (State10[[#This Row],[Total Nurse Staff HPRD]] - State10[[#This Row],[Expected Total Nurse Staff HPRD]]) /
   ABS(State10[[#This Row],[Expected Total Nurse Staff HPRD]]),
   "")</f>
        <v>0.24686385776067557</v>
      </c>
      <c r="AB3" s="47">
        <f>COUNTIFS([1]!Nurse[Total Nurse Staff HPRD], "&gt;=4.1", [1]!Nurse[State], State10[[#This Row],[State]])/(COUNTIF([1]!Nurse[State], State10[[#This Row],[State]]))</f>
        <v>1</v>
      </c>
      <c r="AC3" s="47">
        <f>COUNTIFS([1]!Nurse[Total Nurse Staff HPRD], "&gt;=3.48", [1]!Nurse[State], State10[[#This Row],[State]])/(COUNTIF([1]!Nurse[State], State10[[#This Row],[State]]))</f>
        <v>1</v>
      </c>
      <c r="AD3" s="47">
        <f>COUNTIFS([1]!Nurse[Total RN Staff HPRD], "&gt;=0.75", [1]!Nurse[State], State10[[#This Row],[State]])/(COUNTIF([1]!Nurse[State], State10[[#This Row],[State]]))</f>
        <v>1</v>
      </c>
      <c r="AE3" s="48">
        <f>SUMIF([1]!Nurse[State], State10[[#This Row],[State]], [1]!Nurse[Total RN Hours (w/ Admin, DON)])/SUMIF([1]!Nurse[State], State10[[#This Row],[State]], [1]!Nurse[MDScensus])</f>
        <v>1.8019755161195818</v>
      </c>
      <c r="AF3" s="28">
        <f>RANK(State10[[#This Row],[RN Staff HPRD]], State10[RN Staff HPRD])</f>
        <v>2</v>
      </c>
      <c r="AG3" s="47">
        <f>SUMIF([1]!Nurse[State], State10[[#This Row],[State]], [1]!Nurse[Total Contract Hours])/SUMIF([1]!Nurse[State], State10[[#This Row],[State]], [1]!Nurse[Total Nurse Staff Hours])</f>
        <v>0.14350897504971549</v>
      </c>
      <c r="AH3" s="28">
        <f>RANK(State10[[#This Row],[% Contract]],State10[% Contract])</f>
        <v>2</v>
      </c>
      <c r="AJ3" s="49" t="s">
        <v>308</v>
      </c>
      <c r="AK3" s="31">
        <f>SUM([1]!Nurse[Total Nurse Staff Hours])</f>
        <v>4614775.8004444372</v>
      </c>
      <c r="AL3" s="55" t="s">
        <v>307</v>
      </c>
      <c r="AM3" s="30">
        <f>Category11[[#This Row],[US Total]]/SUM([1]!Nurse[MDScensus])</f>
        <v>3.7304889992068997</v>
      </c>
    </row>
    <row r="4" spans="2:45" ht="15" customHeight="1" x14ac:dyDescent="0.2">
      <c r="B4" s="37" t="s">
        <v>8</v>
      </c>
      <c r="C4" s="38">
        <f>SUM([1]!Nurse[Total Nurse Care Staff Hours (excl. Admin/DON)])/SUM([1]!Nurse[MDScensus])</f>
        <v>3.462797064958191</v>
      </c>
      <c r="D4" s="38">
        <f>MEDIAN([1]!Nurse[Total Nurse Care Staff HPRD (excl. Admin/DON)])</f>
        <v>3.3915708274894798</v>
      </c>
      <c r="E4" s="33"/>
      <c r="F4" s="17">
        <v>2</v>
      </c>
      <c r="G4" s="31">
        <f>SUMIF([1]!Nurse[CMS Region Number], CMSRegion9[[#This Row],[CMS Region Number]], [1]!Nurse[MDScensus])</f>
        <v>140610.36666666646</v>
      </c>
      <c r="H4" s="31">
        <f>COUNTIF([1]!Nurse[CMS Region Number], CMSRegion9[[#This Row],[CMS Region Number]])</f>
        <v>946</v>
      </c>
      <c r="I4" s="30">
        <f>SUMIF([1]!Nurse[CMS Region Number], CMSRegion9[[#This Row],[CMS Region Number]], [1]!Nurse[Total Nurse Staff Hours])/SUMIF([1]!Nurse[CMS Region Number], CMSRegion9[[#This Row],[CMS Region Number]], [1]!Nurse[MDScensus])</f>
        <v>3.584712136366111</v>
      </c>
      <c r="J4" s="31">
        <f>RANK(CMSRegion9[[#This Row],[Total Nurse Staff HPRD]], CMSRegion9[Total Nurse Staff HPRD])</f>
        <v>9</v>
      </c>
      <c r="K4" s="64" cm="1">
        <f t="array" ref="K4">SUMPRODUCT(
   ([1]!Nurse[CMS Region Number]=CMSRegion9[[#This Row],[CMS Region Number]]) *
   ([1]!Nurse[Expected Total Nurse Staff HPRD]) *
   ([1]!Nurse[MDScensus])
 ) /
 SUMIFS([1]!Nurse[MDScensus], [1]!Nurse[CMS Region Number], CMSRegion9[[#This Row],[CMS Region Number]], [1]!Nurse[Expected Total Nurse Staff HPRD], "&gt;0")</f>
        <v>5.0403819751452188</v>
      </c>
      <c r="L4" s="47">
        <f>IF(CMSRegion9[[#This Row],[Expected Total Nurse Staff HPRD]]&lt;&gt;0,
   (CMSRegion9[[#This Row],[Total Nurse Staff HPRD]] - CMSRegion9[[#This Row],[Expected Total Nurse Staff HPRD]]) /
   ABS(CMSRegion9[[#This Row],[Expected Total Nurse Staff HPRD]]),
   "")</f>
        <v>-0.28880149281487111</v>
      </c>
      <c r="M4" s="47">
        <f>COUNTIFS([1]!Nurse[Total Nurse Staff HPRD], "&gt;=4.1", [1]!Nurse[CMS Region Number], CMSRegion9[[#This Row],[CMS Region Number]])/(COUNTIF([1]!Nurse[CMS Region Number], CMSRegion9[[#This Row],[CMS Region Number]]))</f>
        <v>0.20084566596194503</v>
      </c>
      <c r="N4" s="47">
        <f>COUNTIFS([1]!Nurse[Total Nurse Staff HPRD], "&gt;=3.48", [1]!Nurse[CMS Region Number], CMSRegion9[[#This Row],[CMS Region Number]])/(COUNTIF([1]!Nurse[CMS Region Number], CMSRegion9[[#This Row],[CMS Region Number]]))</f>
        <v>0.56131078224101483</v>
      </c>
      <c r="O4" s="47">
        <f>COUNTIFS([1]!Nurse[Total RN Staff HPRD], "&gt;=0.75", [1]!Nurse[CMS Region Number], CMSRegion9[[#This Row],[CMS Region Number]])/(COUNTIF([1]!Nurse[CMS Region Number], CMSRegion9[[#This Row],[CMS Region Number]]))</f>
        <v>0.26849894291754756</v>
      </c>
      <c r="P4" s="48">
        <f>SUMIF([1]!Nurse[CMS Region Number], CMSRegion9[[#This Row],[CMS Region Number]], [1]!Nurse[Total RN Hours (w/ Admin, DON)])/SUMIF([1]!Nurse[CMS Region Number], CMSRegion9[[#This Row],[CMS Region Number]], [1]!Nurse[MDScensus])</f>
        <v>0.63985803954868836</v>
      </c>
      <c r="Q4" s="31">
        <f>RANK(CMSRegion9[[#This Row],[RN Staff HPRD]], CMSRegion9[RN Staff HPRD])</f>
        <v>6</v>
      </c>
      <c r="R4" s="47">
        <f>SUMIF([1]!Nurse[CMS Region Number], CMSRegion9[[#This Row],[CMS Region Number]], [1]!Nurse[Total Contract Hours])/SUMIF([1]!Nurse[CMS Region Number], CMSRegion9[[#This Row],[CMS Region Number]], [1]!Nurse[Total Nurse Staff Hours])</f>
        <v>0.11600996198598006</v>
      </c>
      <c r="S4" s="31">
        <f>RANK(CMSRegion9[[#This Row],[% Contract]],CMSRegion9[% Contract])</f>
        <v>1</v>
      </c>
      <c r="U4" s="29" t="s">
        <v>273</v>
      </c>
      <c r="V4" s="31">
        <f>SUMIF([1]!Nurse[State], State10[[#This Row],[State]], [1]!Nurse[MDScensus])</f>
        <v>21571.933333333291</v>
      </c>
      <c r="W4" s="31">
        <f>COUNTIF([1]!Nurse[State], State10[[#This Row],[State]])</f>
        <v>223</v>
      </c>
      <c r="X4" s="30">
        <f>SUMIF([1]!Nurse[State], State10[[#This Row],[State]], [1]!Nurse[Total Nurse Staff Hours])/SUMIF([1]!Nurse[State], State10[[#This Row],[State]], [1]!Nurse[MDScensus])</f>
        <v>3.848320059913243</v>
      </c>
      <c r="Y4" s="28">
        <f>RANK(State10[[#This Row],[Total Nurse Staff HPRD]], State10[Total Nurse Staff HPRD])</f>
        <v>23</v>
      </c>
      <c r="Z4" s="48" cm="1">
        <f t="array" ref="Z4">SUMPRODUCT(
   ([1]!Nurse[State]=State10[[#This Row],[State]]) *
   ([1]!Nurse[Expected Total Nurse Staff HPRD]) *
   ([1]!Nurse[MDScensus])
 ) /
 SUMIFS([1]!Nurse[MDScensus], [1]!Nurse[State], State10[[#This Row],[State]], [1]!Nurse[Expected Total Nurse Staff HPRD], "&gt;0")</f>
        <v>4.7498238391202126</v>
      </c>
      <c r="AA4" s="47">
        <f>IF(State10[[#This Row],[Expected Total Nurse Staff HPRD]]&lt;&gt;0,
   (State10[[#This Row],[Total Nurse Staff HPRD]] - State10[[#This Row],[Expected Total Nurse Staff HPRD]]) /
   ABS(State10[[#This Row],[Expected Total Nurse Staff HPRD]]),
   "")</f>
        <v>-0.18979730822479321</v>
      </c>
      <c r="AB4" s="47">
        <f>COUNTIFS([1]!Nurse[Total Nurse Staff HPRD], "&gt;=4.1", [1]!Nurse[State], State10[[#This Row],[State]])/(COUNTIF([1]!Nurse[State], State10[[#This Row],[State]]))</f>
        <v>0.37219730941704038</v>
      </c>
      <c r="AC4" s="47">
        <f>COUNTIFS([1]!Nurse[Total Nurse Staff HPRD], "&gt;=3.48", [1]!Nurse[State], State10[[#This Row],[State]])/(COUNTIF([1]!Nurse[State], State10[[#This Row],[State]]))</f>
        <v>0.71300448430493268</v>
      </c>
      <c r="AD4" s="47">
        <f>COUNTIFS([1]!Nurse[Total RN Staff HPRD], "&gt;=0.75", [1]!Nurse[State], State10[[#This Row],[State]])/(COUNTIF([1]!Nurse[State], State10[[#This Row],[State]]))</f>
        <v>0.2556053811659193</v>
      </c>
      <c r="AE4" s="48">
        <f>SUMIF([1]!Nurse[State], State10[[#This Row],[State]], [1]!Nurse[Total RN Hours (w/ Admin, DON)])/SUMIF([1]!Nurse[State], State10[[#This Row],[State]], [1]!Nurse[MDScensus])</f>
        <v>0.60447900409688771</v>
      </c>
      <c r="AF4" s="28">
        <f>RANK(State10[[#This Row],[RN Staff HPRD]], State10[RN Staff HPRD])</f>
        <v>37</v>
      </c>
      <c r="AG4" s="47">
        <f>SUMIF([1]!Nurse[State], State10[[#This Row],[State]], [1]!Nurse[Total Contract Hours])/SUMIF([1]!Nurse[State], State10[[#This Row],[State]], [1]!Nurse[Total Nurse Staff Hours])</f>
        <v>9.9807568670802396E-3</v>
      </c>
      <c r="AH4" s="28">
        <f>RANK(State10[[#This Row],[% Contract]],State10[% Contract])</f>
        <v>52</v>
      </c>
      <c r="AJ4" s="70" t="s">
        <v>191</v>
      </c>
      <c r="AK4" s="31">
        <f>SUM([1]!Nurse[Total Nurse Care Staff Hours (excl. Admin/DON)])</f>
        <v>4283629.3313333541</v>
      </c>
      <c r="AL4" s="55">
        <f>Category11[[#This Row],[US Total]]/SUM([1]!Nurse[Total Nurse Staff Hours])</f>
        <v>0.92824213278591106</v>
      </c>
      <c r="AM4" s="30">
        <f>Category11[[#This Row],[US Total]]/SUM([1]!Nurse[MDScensus])</f>
        <v>3.462797064958191</v>
      </c>
    </row>
    <row r="5" spans="2:45" ht="15" customHeight="1" x14ac:dyDescent="0.2">
      <c r="B5" s="39" t="s">
        <v>9</v>
      </c>
      <c r="C5" s="69">
        <f>SUM([1]!Nurse[Total RN Hours (w/ Admin, DON)])/SUM([1]!Nurse[MDScensus])</f>
        <v>0.61375764226023855</v>
      </c>
      <c r="D5" s="35">
        <f>MEDIAN([1]!Nurse[Total RN Staff HPRD])</f>
        <v>0.57503250975292497</v>
      </c>
      <c r="E5" s="40"/>
      <c r="F5" s="17">
        <v>3</v>
      </c>
      <c r="G5" s="31">
        <f>SUMIF([1]!Nurse[CMS Region Number], CMSRegion9[[#This Row],[CMS Region Number]], [1]!Nurse[MDScensus])</f>
        <v>134535.64444444422</v>
      </c>
      <c r="H5" s="31">
        <f>COUNTIF([1]!Nurse[CMS Region Number], CMSRegion9[[#This Row],[CMS Region Number]])</f>
        <v>1348</v>
      </c>
      <c r="I5" s="30">
        <f>SUMIF([1]!Nurse[CMS Region Number], CMSRegion9[[#This Row],[CMS Region Number]], [1]!Nurse[Total Nurse Staff Hours])/SUMIF([1]!Nurse[CMS Region Number], CMSRegion9[[#This Row],[CMS Region Number]], [1]!Nurse[MDScensus])</f>
        <v>3.6636585711114393</v>
      </c>
      <c r="J5" s="31">
        <f>RANK(CMSRegion9[[#This Row],[Total Nurse Staff HPRD]], CMSRegion9[Total Nurse Staff HPRD])</f>
        <v>6</v>
      </c>
      <c r="K5" s="64" cm="1">
        <f t="array" ref="K5">SUMPRODUCT(
   ([1]!Nurse[CMS Region Number]=CMSRegion9[[#This Row],[CMS Region Number]]) *
   ([1]!Nurse[Expected Total Nurse Staff HPRD]) *
   ([1]!Nurse[MDScensus])
 ) /
 SUMIFS([1]!Nurse[MDScensus], [1]!Nurse[CMS Region Number], CMSRegion9[[#This Row],[CMS Region Number]], [1]!Nurse[Expected Total Nurse Staff HPRD], "&gt;0")</f>
        <v>4.9309476719625804</v>
      </c>
      <c r="L5" s="47">
        <f>IF(CMSRegion9[[#This Row],[Expected Total Nurse Staff HPRD]]&lt;&gt;0,
   (CMSRegion9[[#This Row],[Total Nurse Staff HPRD]] - CMSRegion9[[#This Row],[Expected Total Nurse Staff HPRD]]) /
   ABS(CMSRegion9[[#This Row],[Expected Total Nurse Staff HPRD]]),
   "")</f>
        <v>-0.25700720939647365</v>
      </c>
      <c r="M5" s="47">
        <f>COUNTIFS([1]!Nurse[Total Nurse Staff HPRD], "&gt;=4.1", [1]!Nurse[CMS Region Number], CMSRegion9[[#This Row],[CMS Region Number]])/(COUNTIF([1]!Nurse[CMS Region Number], CMSRegion9[[#This Row],[CMS Region Number]]))</f>
        <v>0.26409495548961426</v>
      </c>
      <c r="N5" s="47">
        <f>COUNTIFS([1]!Nurse[Total Nurse Staff HPRD], "&gt;=3.48", [1]!Nurse[CMS Region Number], CMSRegion9[[#This Row],[CMS Region Number]])/(COUNTIF([1]!Nurse[CMS Region Number], CMSRegion9[[#This Row],[CMS Region Number]]))</f>
        <v>0.60014836795252224</v>
      </c>
      <c r="O5" s="47">
        <f>COUNTIFS([1]!Nurse[Total RN Staff HPRD], "&gt;=0.75", [1]!Nurse[CMS Region Number], CMSRegion9[[#This Row],[CMS Region Number]])/(COUNTIF([1]!Nurse[CMS Region Number], CMSRegion9[[#This Row],[CMS Region Number]]))</f>
        <v>0.37759643916913949</v>
      </c>
      <c r="P5" s="48">
        <f>SUMIF([1]!Nurse[CMS Region Number], CMSRegion9[[#This Row],[CMS Region Number]], [1]!Nurse[Total RN Hours (w/ Admin, DON)])/SUMIF([1]!Nurse[CMS Region Number], CMSRegion9[[#This Row],[CMS Region Number]], [1]!Nurse[MDScensus])</f>
        <v>0.66468491456374079</v>
      </c>
      <c r="Q5" s="31">
        <f>RANK(CMSRegion9[[#This Row],[RN Staff HPRD]], CMSRegion9[RN Staff HPRD])</f>
        <v>5</v>
      </c>
      <c r="R5" s="47">
        <f>SUMIF([1]!Nurse[CMS Region Number], CMSRegion9[[#This Row],[CMS Region Number]], [1]!Nurse[Total Contract Hours])/SUMIF([1]!Nurse[CMS Region Number], CMSRegion9[[#This Row],[CMS Region Number]], [1]!Nurse[Total Nurse Staff Hours])</f>
        <v>0.10307577958010407</v>
      </c>
      <c r="S5" s="31">
        <f>RANK(CMSRegion9[[#This Row],[% Contract]],CMSRegion9[% Contract])</f>
        <v>2</v>
      </c>
      <c r="U5" s="29" t="s">
        <v>272</v>
      </c>
      <c r="V5" s="31">
        <f>SUMIF([1]!Nurse[State], State10[[#This Row],[State]], [1]!Nurse[MDScensus])</f>
        <v>16544.588888888851</v>
      </c>
      <c r="W5" s="31">
        <f>COUNTIF([1]!Nurse[State], State10[[#This Row],[State]])</f>
        <v>216</v>
      </c>
      <c r="X5" s="30">
        <f>SUMIF([1]!Nurse[State], State10[[#This Row],[State]], [1]!Nurse[Total Nurse Staff Hours])/SUMIF([1]!Nurse[State], State10[[#This Row],[State]], [1]!Nurse[MDScensus])</f>
        <v>4.0263534166592265</v>
      </c>
      <c r="Y5" s="28">
        <f>RANK(State10[[#This Row],[Total Nurse Staff HPRD]], State10[Total Nurse Staff HPRD])</f>
        <v>15</v>
      </c>
      <c r="Z5" s="48" cm="1">
        <f t="array" ref="Z5">SUMPRODUCT(
   ([1]!Nurse[State]=State10[[#This Row],[State]]) *
   ([1]!Nurse[Expected Total Nurse Staff HPRD]) *
   ([1]!Nurse[MDScensus])
 ) /
 SUMIFS([1]!Nurse[MDScensus], [1]!Nurse[State], State10[[#This Row],[State]], [1]!Nurse[Expected Total Nurse Staff HPRD], "&gt;0")</f>
        <v>4.7250545218559781</v>
      </c>
      <c r="AA5" s="47">
        <f>IF(State10[[#This Row],[Expected Total Nurse Staff HPRD]]&lt;&gt;0,
   (State10[[#This Row],[Total Nurse Staff HPRD]] - State10[[#This Row],[Expected Total Nurse Staff HPRD]]) /
   ABS(State10[[#This Row],[Expected Total Nurse Staff HPRD]]),
   "")</f>
        <v>-0.14787154348481574</v>
      </c>
      <c r="AB5" s="47">
        <f>COUNTIFS([1]!Nurse[Total Nurse Staff HPRD], "&gt;=4.1", [1]!Nurse[State], State10[[#This Row],[State]])/(COUNTIF([1]!Nurse[State], State10[[#This Row],[State]]))</f>
        <v>0.34722222222222221</v>
      </c>
      <c r="AC5" s="47">
        <f>COUNTIFS([1]!Nurse[Total Nurse Staff HPRD], "&gt;=3.48", [1]!Nurse[State], State10[[#This Row],[State]])/(COUNTIF([1]!Nurse[State], State10[[#This Row],[State]]))</f>
        <v>0.83796296296296291</v>
      </c>
      <c r="AD5" s="47">
        <f>COUNTIFS([1]!Nurse[Total RN Staff HPRD], "&gt;=0.75", [1]!Nurse[State], State10[[#This Row],[State]])/(COUNTIF([1]!Nurse[State], State10[[#This Row],[State]]))</f>
        <v>4.1666666666666664E-2</v>
      </c>
      <c r="AE5" s="48">
        <f>SUMIF([1]!Nurse[State], State10[[#This Row],[State]], [1]!Nurse[Total RN Hours (w/ Admin, DON)])/SUMIF([1]!Nurse[State], State10[[#This Row],[State]], [1]!Nurse[MDScensus])</f>
        <v>0.40042827027030714</v>
      </c>
      <c r="AF5" s="28">
        <f>RANK(State10[[#This Row],[RN Staff HPRD]], State10[RN Staff HPRD])</f>
        <v>48</v>
      </c>
      <c r="AG5" s="47">
        <f>SUMIF([1]!Nurse[State], State10[[#This Row],[State]], [1]!Nurse[Total Contract Hours])/SUMIF([1]!Nurse[State], State10[[#This Row],[State]], [1]!Nurse[Total Nurse Staff Hours])</f>
        <v>1.9935147185093684E-2</v>
      </c>
      <c r="AH5" s="28">
        <f>RANK(State10[[#This Row],[% Contract]],State10[% Contract])</f>
        <v>50</v>
      </c>
      <c r="AJ5" s="49" t="s">
        <v>181</v>
      </c>
      <c r="AK5" s="31">
        <f>SUM([1]!Nurse[Total RN Hours (w/ Admin, DON)])</f>
        <v>759244.67688888509</v>
      </c>
      <c r="AL5" s="55">
        <f>Category11[[#This Row],[US Total]]/SUM([1]!Nurse[Total Nurse Staff Hours])</f>
        <v>0.16452471576533884</v>
      </c>
      <c r="AM5" s="30">
        <f>Category11[[#This Row],[US Total]]/SUM([1]!Nurse[MDScensus])</f>
        <v>0.61375764226023855</v>
      </c>
      <c r="AN5" s="32"/>
      <c r="AO5" s="32"/>
      <c r="AR5" s="32"/>
      <c r="AS5" s="32"/>
    </row>
    <row r="6" spans="2:45" ht="15" customHeight="1" x14ac:dyDescent="0.2">
      <c r="B6" s="37" t="s">
        <v>306</v>
      </c>
      <c r="C6" s="36">
        <f>SUM([1]!Nurse[Hrs_RN])/SUM([1]!Nurse[MDScensus])</f>
        <v>0.42745320063482695</v>
      </c>
      <c r="D6" s="38">
        <f>MEDIAN([1]!Nurse[Total RN Care Staff HPRD (excl. Admin/DON)])</f>
        <v>0.38471906039295201</v>
      </c>
      <c r="E6" s="29"/>
      <c r="F6" s="17">
        <v>4</v>
      </c>
      <c r="G6" s="31">
        <f>SUMIF([1]!Nurse[CMS Region Number], CMSRegion9[[#This Row],[CMS Region Number]], [1]!Nurse[MDScensus])</f>
        <v>239869.03333333391</v>
      </c>
      <c r="H6" s="31">
        <f>COUNTIF([1]!Nurse[CMS Region Number], CMSRegion9[[#This Row],[CMS Region Number]])</f>
        <v>2621</v>
      </c>
      <c r="I6" s="30">
        <f>SUMIF([1]!Nurse[CMS Region Number], CMSRegion9[[#This Row],[CMS Region Number]], [1]!Nurse[Total Nurse Staff Hours])/SUMIF([1]!Nurse[CMS Region Number], CMSRegion9[[#This Row],[CMS Region Number]], [1]!Nurse[MDScensus])</f>
        <v>3.7263800778693348</v>
      </c>
      <c r="J6" s="31">
        <f>RANK(CMSRegion9[[#This Row],[Total Nurse Staff HPRD]], CMSRegion9[Total Nurse Staff HPRD])</f>
        <v>5</v>
      </c>
      <c r="K6" s="64" cm="1">
        <f t="array" ref="K6">SUMPRODUCT(
   ([1]!Nurse[CMS Region Number]=CMSRegion9[[#This Row],[CMS Region Number]]) *
   ([1]!Nurse[Expected Total Nurse Staff HPRD]) *
   ([1]!Nurse[MDScensus])
 ) /
 SUMIFS([1]!Nurse[MDScensus], [1]!Nurse[CMS Region Number], CMSRegion9[[#This Row],[CMS Region Number]], [1]!Nurse[Expected Total Nurse Staff HPRD], "&gt;0")</f>
        <v>4.928034245420271</v>
      </c>
      <c r="L6" s="47">
        <f>IF(CMSRegion9[[#This Row],[Expected Total Nurse Staff HPRD]]&lt;&gt;0,
   (CMSRegion9[[#This Row],[Total Nurse Staff HPRD]] - CMSRegion9[[#This Row],[Expected Total Nurse Staff HPRD]]) /
   ABS(CMSRegion9[[#This Row],[Expected Total Nurse Staff HPRD]]),
   "")</f>
        <v>-0.24384046613873667</v>
      </c>
      <c r="M6" s="47">
        <f>COUNTIFS([1]!Nurse[Total Nurse Staff HPRD], "&gt;=4.1", [1]!Nurse[CMS Region Number], CMSRegion9[[#This Row],[CMS Region Number]])/(COUNTIF([1]!Nurse[CMS Region Number], CMSRegion9[[#This Row],[CMS Region Number]]))</f>
        <v>0.23464326592903473</v>
      </c>
      <c r="N6" s="47">
        <f>COUNTIFS([1]!Nurse[Total Nurse Staff HPRD], "&gt;=3.48", [1]!Nurse[CMS Region Number], CMSRegion9[[#This Row],[CMS Region Number]])/(COUNTIF([1]!Nurse[CMS Region Number], CMSRegion9[[#This Row],[CMS Region Number]]))</f>
        <v>0.65433040824112931</v>
      </c>
      <c r="O6" s="47">
        <f>COUNTIFS([1]!Nurse[Total RN Staff HPRD], "&gt;=0.75", [1]!Nurse[CMS Region Number], CMSRegion9[[#This Row],[CMS Region Number]])/(COUNTIF([1]!Nurse[CMS Region Number], CMSRegion9[[#This Row],[CMS Region Number]]))</f>
        <v>0.24074780618084701</v>
      </c>
      <c r="P6" s="48">
        <f>SUMIF([1]!Nurse[CMS Region Number], CMSRegion9[[#This Row],[CMS Region Number]], [1]!Nurse[Total RN Hours (w/ Admin, DON)])/SUMIF([1]!Nurse[CMS Region Number], CMSRegion9[[#This Row],[CMS Region Number]], [1]!Nurse[MDScensus])</f>
        <v>0.60031586171583362</v>
      </c>
      <c r="Q6" s="31">
        <f>RANK(CMSRegion9[[#This Row],[RN Staff HPRD]], CMSRegion9[RN Staff HPRD])</f>
        <v>7</v>
      </c>
      <c r="R6" s="47">
        <f>SUMIF([1]!Nurse[CMS Region Number], CMSRegion9[[#This Row],[CMS Region Number]], [1]!Nurse[Total Contract Hours])/SUMIF([1]!Nurse[CMS Region Number], CMSRegion9[[#This Row],[CMS Region Number]], [1]!Nurse[Total Nurse Staff Hours])</f>
        <v>4.0755683463604593E-2</v>
      </c>
      <c r="S6" s="31">
        <f>RANK(CMSRegion9[[#This Row],[% Contract]],CMSRegion9[% Contract])</f>
        <v>8</v>
      </c>
      <c r="U6" s="29" t="s">
        <v>271</v>
      </c>
      <c r="V6" s="31">
        <f>SUMIF([1]!Nurse[State], State10[[#This Row],[State]], [1]!Nurse[MDScensus])</f>
        <v>11906.699999999977</v>
      </c>
      <c r="W6" s="31">
        <f>COUNTIF([1]!Nurse[State], State10[[#This Row],[State]])</f>
        <v>140</v>
      </c>
      <c r="X6" s="30">
        <f>SUMIF([1]!Nurse[State], State10[[#This Row],[State]], [1]!Nurse[Total Nurse Staff Hours])/SUMIF([1]!Nurse[State], State10[[#This Row],[State]], [1]!Nurse[MDScensus])</f>
        <v>3.9597170967233222</v>
      </c>
      <c r="Y6" s="28">
        <f>RANK(State10[[#This Row],[Total Nurse Staff HPRD]], State10[Total Nurse Staff HPRD])</f>
        <v>17</v>
      </c>
      <c r="Z6" s="48" cm="1">
        <f t="array" ref="Z6">SUMPRODUCT(
   ([1]!Nurse[State]=State10[[#This Row],[State]]) *
   ([1]!Nurse[Expected Total Nurse Staff HPRD]) *
   ([1]!Nurse[MDScensus])
 ) /
 SUMIFS([1]!Nurse[MDScensus], [1]!Nurse[State], State10[[#This Row],[State]], [1]!Nurse[Expected Total Nurse Staff HPRD], "&gt;0")</f>
        <v>5.0306072258406633</v>
      </c>
      <c r="AA6" s="47">
        <f>IF(State10[[#This Row],[Expected Total Nurse Staff HPRD]]&lt;&gt;0,
   (State10[[#This Row],[Total Nurse Staff HPRD]] - State10[[#This Row],[Expected Total Nurse Staff HPRD]]) /
   ABS(State10[[#This Row],[Expected Total Nurse Staff HPRD]]),
   "")</f>
        <v>-0.21287492365067023</v>
      </c>
      <c r="AB6" s="47">
        <f>COUNTIFS([1]!Nurse[Total Nurse Staff HPRD], "&gt;=4.1", [1]!Nurse[State], State10[[#This Row],[State]])/(COUNTIF([1]!Nurse[State], State10[[#This Row],[State]]))</f>
        <v>0.38571428571428573</v>
      </c>
      <c r="AC6" s="47">
        <f>COUNTIFS([1]!Nurse[Total Nurse Staff HPRD], "&gt;=3.48", [1]!Nurse[State], State10[[#This Row],[State]])/(COUNTIF([1]!Nurse[State], State10[[#This Row],[State]]))</f>
        <v>0.68571428571428572</v>
      </c>
      <c r="AD6" s="47">
        <f>COUNTIFS([1]!Nurse[Total RN Staff HPRD], "&gt;=0.75", [1]!Nurse[State], State10[[#This Row],[State]])/(COUNTIF([1]!Nurse[State], State10[[#This Row],[State]]))</f>
        <v>0.32857142857142857</v>
      </c>
      <c r="AE6" s="48">
        <f>SUMIF([1]!Nurse[State], State10[[#This Row],[State]], [1]!Nurse[Total RN Hours (w/ Admin, DON)])/SUMIF([1]!Nurse[State], State10[[#This Row],[State]], [1]!Nurse[MDScensus])</f>
        <v>0.6591860138502792</v>
      </c>
      <c r="AF6" s="28">
        <f>RANK(State10[[#This Row],[RN Staff HPRD]], State10[RN Staff HPRD])</f>
        <v>29</v>
      </c>
      <c r="AG6" s="47">
        <f>SUMIF([1]!Nurse[State], State10[[#This Row],[State]], [1]!Nurse[Total Contract Hours])/SUMIF([1]!Nurse[State], State10[[#This Row],[State]], [1]!Nurse[Total Nurse Staff Hours])</f>
        <v>3.6000207407316347E-2</v>
      </c>
      <c r="AH6" s="28">
        <f>RANK(State10[[#This Row],[% Contract]],State10[% Contract])</f>
        <v>41</v>
      </c>
      <c r="AJ6" s="58" t="s">
        <v>305</v>
      </c>
      <c r="AK6" s="31">
        <f>SUM([1]!Nurse[Hrs_RN])</f>
        <v>528778.04666666873</v>
      </c>
      <c r="AL6" s="55">
        <f>Category11[[#This Row],[US Total]]/SUM([1]!Nurse[Total Nurse Staff Hours])</f>
        <v>0.11458369150149038</v>
      </c>
      <c r="AM6" s="30">
        <f>Category11[[#This Row],[US Total]]/SUM([1]!Nurse[MDScensus])</f>
        <v>0.42745320063482695</v>
      </c>
      <c r="AN6" s="32"/>
      <c r="AO6" s="32"/>
      <c r="AR6" s="32"/>
      <c r="AS6" s="32"/>
    </row>
    <row r="7" spans="2:45" ht="15" customHeight="1" x14ac:dyDescent="0.2">
      <c r="B7" s="68" t="s">
        <v>291</v>
      </c>
      <c r="C7" s="67">
        <f>SUM([1]!Nurse[Total Contract Hours])/SUM([1]!Nurse[Total Nurse Staff Hours])</f>
        <v>6.1870506971505514E-2</v>
      </c>
      <c r="D7" s="67">
        <f>MEDIAN([1]!Nurse[% Total Nurse Contract])/100</f>
        <v>6.22812740969215E-3</v>
      </c>
      <c r="E7" s="29"/>
      <c r="F7" s="17">
        <v>5</v>
      </c>
      <c r="G7" s="31">
        <f>SUMIF([1]!Nurse[CMS Region Number], CMSRegion9[[#This Row],[CMS Region Number]], [1]!Nurse[MDScensus])</f>
        <v>238189.87777777776</v>
      </c>
      <c r="H7" s="31">
        <f>COUNTIF([1]!Nurse[CMS Region Number], CMSRegion9[[#This Row],[CMS Region Number]])</f>
        <v>3164</v>
      </c>
      <c r="I7" s="30">
        <f>SUMIF([1]!Nurse[CMS Region Number], CMSRegion9[[#This Row],[CMS Region Number]], [1]!Nurse[Total Nurse Staff Hours])/SUMIF([1]!Nurse[CMS Region Number], CMSRegion9[[#This Row],[CMS Region Number]], [1]!Nurse[MDScensus])</f>
        <v>3.6415758510868685</v>
      </c>
      <c r="J7" s="31">
        <f>RANK(CMSRegion9[[#This Row],[Total Nurse Staff HPRD]], CMSRegion9[Total Nurse Staff HPRD])</f>
        <v>7</v>
      </c>
      <c r="K7" s="64" cm="1">
        <f t="array" ref="K7">SUMPRODUCT(
   ([1]!Nurse[CMS Region Number]=CMSRegion9[[#This Row],[CMS Region Number]]) *
   ([1]!Nurse[Expected Total Nurse Staff HPRD]) *
   ([1]!Nurse[MDScensus])
 ) /
 SUMIFS([1]!Nurse[MDScensus], [1]!Nurse[CMS Region Number], CMSRegion9[[#This Row],[CMS Region Number]], [1]!Nurse[Expected Total Nurse Staff HPRD], "&gt;0")</f>
        <v>5.1039742911274502</v>
      </c>
      <c r="L7" s="47">
        <f>IF(CMSRegion9[[#This Row],[Expected Total Nurse Staff HPRD]]&lt;&gt;0,
   (CMSRegion9[[#This Row],[Total Nurse Staff HPRD]] - CMSRegion9[[#This Row],[Expected Total Nurse Staff HPRD]]) /
   ABS(CMSRegion9[[#This Row],[Expected Total Nurse Staff HPRD]]),
   "")</f>
        <v>-0.28652151375110924</v>
      </c>
      <c r="M7" s="47">
        <f>COUNTIFS([1]!Nurse[Total Nurse Staff HPRD], "&gt;=4.1", [1]!Nurse[CMS Region Number], CMSRegion9[[#This Row],[CMS Region Number]])/(COUNTIF([1]!Nurse[CMS Region Number], CMSRegion9[[#This Row],[CMS Region Number]]))</f>
        <v>0.25410872313527183</v>
      </c>
      <c r="N7" s="47">
        <f>COUNTIFS([1]!Nurse[Total Nurse Staff HPRD], "&gt;=3.48", [1]!Nurse[CMS Region Number], CMSRegion9[[#This Row],[CMS Region Number]])/(COUNTIF([1]!Nurse[CMS Region Number], CMSRegion9[[#This Row],[CMS Region Number]]))</f>
        <v>0.58407079646017701</v>
      </c>
      <c r="O7" s="47">
        <f>COUNTIFS([1]!Nurse[Total RN Staff HPRD], "&gt;=0.75", [1]!Nurse[CMS Region Number], CMSRegion9[[#This Row],[CMS Region Number]])/(COUNTIF([1]!Nurse[CMS Region Number], CMSRegion9[[#This Row],[CMS Region Number]]))</f>
        <v>0.40044247787610621</v>
      </c>
      <c r="P7" s="48">
        <f>SUMIF([1]!Nurse[CMS Region Number], CMSRegion9[[#This Row],[CMS Region Number]], [1]!Nurse[Total RN Hours (w/ Admin, DON)])/SUMIF([1]!Nurse[CMS Region Number], CMSRegion9[[#This Row],[CMS Region Number]], [1]!Nurse[MDScensus])</f>
        <v>0.68605624532323295</v>
      </c>
      <c r="Q7" s="31">
        <f>RANK(CMSRegion9[[#This Row],[RN Staff HPRD]], CMSRegion9[RN Staff HPRD])</f>
        <v>3</v>
      </c>
      <c r="R7" s="47">
        <f>SUMIF([1]!Nurse[CMS Region Number], CMSRegion9[[#This Row],[CMS Region Number]], [1]!Nurse[Total Contract Hours])/SUMIF([1]!Nurse[CMS Region Number], CMSRegion9[[#This Row],[CMS Region Number]], [1]!Nurse[Total Nurse Staff Hours])</f>
        <v>5.7223733653032779E-2</v>
      </c>
      <c r="S7" s="31">
        <f>RANK(CMSRegion9[[#This Row],[% Contract]],CMSRegion9[% Contract])</f>
        <v>6</v>
      </c>
      <c r="U7" s="29" t="s">
        <v>270</v>
      </c>
      <c r="V7" s="31">
        <f>SUMIF([1]!Nurse[State], State10[[#This Row],[State]], [1]!Nurse[MDScensus])</f>
        <v>100552.89999999986</v>
      </c>
      <c r="W7" s="31">
        <f>COUNTIF([1]!Nurse[State], State10[[#This Row],[State]])</f>
        <v>1142</v>
      </c>
      <c r="X7" s="30">
        <f>SUMIF([1]!Nurse[State], State10[[#This Row],[State]], [1]!Nurse[Total Nurse Staff Hours])/SUMIF([1]!Nurse[State], State10[[#This Row],[State]], [1]!Nurse[MDScensus])</f>
        <v>4.3204724809859636</v>
      </c>
      <c r="Y7" s="28">
        <f>RANK(State10[[#This Row],[Total Nurse Staff HPRD]], State10[Total Nurse Staff HPRD])</f>
        <v>6</v>
      </c>
      <c r="Z7" s="48" cm="1">
        <f t="array" ref="Z7">SUMPRODUCT(
   ([1]!Nurse[State]=State10[[#This Row],[State]]) *
   ([1]!Nurse[Expected Total Nurse Staff HPRD]) *
   ([1]!Nurse[MDScensus])
 ) /
 SUMIFS([1]!Nurse[MDScensus], [1]!Nurse[State], State10[[#This Row],[State]], [1]!Nurse[Expected Total Nurse Staff HPRD], "&gt;0")</f>
        <v>5.0750915025272256</v>
      </c>
      <c r="AA7" s="47">
        <f>IF(State10[[#This Row],[Expected Total Nurse Staff HPRD]]&lt;&gt;0,
   (State10[[#This Row],[Total Nurse Staff HPRD]] - State10[[#This Row],[Expected Total Nurse Staff HPRD]]) /
   ABS(State10[[#This Row],[Expected Total Nurse Staff HPRD]]),
   "")</f>
        <v>-0.14869072235751554</v>
      </c>
      <c r="AB7" s="47">
        <f>COUNTIFS([1]!Nurse[Total Nurse Staff HPRD], "&gt;=4.1", [1]!Nurse[State], State10[[#This Row],[State]])/(COUNTIF([1]!Nurse[State], State10[[#This Row],[State]]))</f>
        <v>0.58756567425569173</v>
      </c>
      <c r="AC7" s="47">
        <f>COUNTIFS([1]!Nurse[Total Nurse Staff HPRD], "&gt;=3.48", [1]!Nurse[State], State10[[#This Row],[State]])/(COUNTIF([1]!Nurse[State], State10[[#This Row],[State]]))</f>
        <v>0.97460595446584941</v>
      </c>
      <c r="AD7" s="47">
        <f>COUNTIFS([1]!Nurse[Total RN Staff HPRD], "&gt;=0.75", [1]!Nurse[State], State10[[#This Row],[State]])/(COUNTIF([1]!Nurse[State], State10[[#This Row],[State]]))</f>
        <v>0.19527145359019266</v>
      </c>
      <c r="AE7" s="48">
        <f>SUMIF([1]!Nurse[State], State10[[#This Row],[State]], [1]!Nurse[Total RN Hours (w/ Admin, DON)])/SUMIF([1]!Nurse[State], State10[[#This Row],[State]], [1]!Nurse[MDScensus])</f>
        <v>0.5468801319725457</v>
      </c>
      <c r="AF7" s="28">
        <f>RANK(State10[[#This Row],[RN Staff HPRD]], State10[RN Staff HPRD])</f>
        <v>43</v>
      </c>
      <c r="AG7" s="47">
        <f>SUMIF([1]!Nurse[State], State10[[#This Row],[State]], [1]!Nurse[Total Contract Hours])/SUMIF([1]!Nurse[State], State10[[#This Row],[State]], [1]!Nurse[Total Nurse Staff Hours])</f>
        <v>3.0062167934494746E-2</v>
      </c>
      <c r="AH7" s="28">
        <f>RANK(State10[[#This Row],[% Contract]],State10[% Contract])</f>
        <v>44</v>
      </c>
      <c r="AJ7" s="58" t="s">
        <v>304</v>
      </c>
      <c r="AK7" s="31">
        <f>SUM([1]!Nurse[Hrs_RNadmin])</f>
        <v>154366.97922222278</v>
      </c>
      <c r="AL7" s="55">
        <f>Category11[[#This Row],[US Total]]/SUM([1]!Nurse[Total Nurse Staff Hours])</f>
        <v>3.3450591295758308E-2</v>
      </c>
      <c r="AM7" s="30">
        <f>Category11[[#This Row],[US Total]]/SUM([1]!Nurse[MDScensus])</f>
        <v>0.12478706284579244</v>
      </c>
      <c r="AN7" s="32"/>
      <c r="AO7" s="32"/>
      <c r="AP7" s="32"/>
      <c r="AQ7" s="32"/>
      <c r="AR7" s="32"/>
      <c r="AS7" s="32"/>
    </row>
    <row r="8" spans="2:45" ht="15" customHeight="1" x14ac:dyDescent="0.2">
      <c r="B8" s="66" t="s">
        <v>303</v>
      </c>
      <c r="C8" s="53">
        <f>COUNTIF([1]!Nurse[Total Nurse Staff HPRD], "&gt;=4.1")/COUNTA([1]!Nurse[PROVNAME])</f>
        <v>0.28080544292488491</v>
      </c>
      <c r="D8" s="53" t="s">
        <v>294</v>
      </c>
      <c r="F8" s="17">
        <v>6</v>
      </c>
      <c r="G8" s="31">
        <f>SUMIF([1]!Nurse[CMS Region Number], CMSRegion9[[#This Row],[CMS Region Number]], [1]!Nurse[MDScensus])</f>
        <v>149564.42222222226</v>
      </c>
      <c r="H8" s="31">
        <f>COUNTIF([1]!Nurse[CMS Region Number], CMSRegion9[[#This Row],[CMS Region Number]])</f>
        <v>1985</v>
      </c>
      <c r="I8" s="30">
        <f>SUMIF([1]!Nurse[CMS Region Number], CMSRegion9[[#This Row],[CMS Region Number]], [1]!Nurse[Total Nurse Staff Hours])/SUMIF([1]!Nurse[CMS Region Number], CMSRegion9[[#This Row],[CMS Region Number]], [1]!Nurse[MDScensus])</f>
        <v>3.5009084283115977</v>
      </c>
      <c r="J8" s="31">
        <f>RANK(CMSRegion9[[#This Row],[Total Nurse Staff HPRD]], CMSRegion9[Total Nurse Staff HPRD])</f>
        <v>10</v>
      </c>
      <c r="K8" s="64" cm="1">
        <f t="array" ref="K8">SUMPRODUCT(
   ([1]!Nurse[CMS Region Number]=CMSRegion9[[#This Row],[CMS Region Number]]) *
   ([1]!Nurse[Expected Total Nurse Staff HPRD]) *
   ([1]!Nurse[MDScensus])
 ) /
 SUMIFS([1]!Nurse[MDScensus], [1]!Nurse[CMS Region Number], CMSRegion9[[#This Row],[CMS Region Number]], [1]!Nurse[Expected Total Nurse Staff HPRD], "&gt;0")</f>
        <v>4.8093392104828965</v>
      </c>
      <c r="L8" s="47">
        <f>IF(CMSRegion9[[#This Row],[Expected Total Nurse Staff HPRD]]&lt;&gt;0,
   (CMSRegion9[[#This Row],[Total Nurse Staff HPRD]] - CMSRegion9[[#This Row],[Expected Total Nurse Staff HPRD]]) /
   ABS(CMSRegion9[[#This Row],[Expected Total Nurse Staff HPRD]]),
   "")</f>
        <v>-0.27206040682664218</v>
      </c>
      <c r="M8" s="47">
        <f>COUNTIFS([1]!Nurse[Total Nurse Staff HPRD], "&gt;=4.1", [1]!Nurse[CMS Region Number], CMSRegion9[[#This Row],[CMS Region Number]])/(COUNTIF([1]!Nurse[CMS Region Number], CMSRegion9[[#This Row],[CMS Region Number]]))</f>
        <v>0.16171284634760705</v>
      </c>
      <c r="N8" s="47">
        <f>COUNTIFS([1]!Nurse[Total Nurse Staff HPRD], "&gt;=3.48", [1]!Nurse[CMS Region Number], CMSRegion9[[#This Row],[CMS Region Number]])/(COUNTIF([1]!Nurse[CMS Region Number], CMSRegion9[[#This Row],[CMS Region Number]]))</f>
        <v>0.44937027707808563</v>
      </c>
      <c r="O8" s="47">
        <f>COUNTIFS([1]!Nurse[Total RN Staff HPRD], "&gt;=0.75", [1]!Nurse[CMS Region Number], CMSRegion9[[#This Row],[CMS Region Number]])/(COUNTIF([1]!Nurse[CMS Region Number], CMSRegion9[[#This Row],[CMS Region Number]]))</f>
        <v>5.7430730478589417E-2</v>
      </c>
      <c r="P8" s="48">
        <f>SUMIF([1]!Nurse[CMS Region Number], CMSRegion9[[#This Row],[CMS Region Number]], [1]!Nurse[Total RN Hours (w/ Admin, DON)])/SUMIF([1]!Nurse[CMS Region Number], CMSRegion9[[#This Row],[CMS Region Number]], [1]!Nurse[MDScensus])</f>
        <v>0.37370147223069511</v>
      </c>
      <c r="Q8" s="31">
        <f>RANK(CMSRegion9[[#This Row],[RN Staff HPRD]], CMSRegion9[RN Staff HPRD])</f>
        <v>10</v>
      </c>
      <c r="R8" s="47">
        <f>SUMIF([1]!Nurse[CMS Region Number], CMSRegion9[[#This Row],[CMS Region Number]], [1]!Nurse[Total Contract Hours])/SUMIF([1]!Nurse[CMS Region Number], CMSRegion9[[#This Row],[CMS Region Number]], [1]!Nurse[Total Nurse Staff Hours])</f>
        <v>3.2767542202888696E-2</v>
      </c>
      <c r="S8" s="31">
        <f>RANK(CMSRegion9[[#This Row],[% Contract]],CMSRegion9[% Contract])</f>
        <v>9</v>
      </c>
      <c r="U8" s="29" t="s">
        <v>269</v>
      </c>
      <c r="V8" s="31">
        <f>SUMIF([1]!Nurse[State], State10[[#This Row],[State]], [1]!Nurse[MDScensus])</f>
        <v>15076.222222222192</v>
      </c>
      <c r="W8" s="31">
        <f>COUNTIF([1]!Nurse[State], State10[[#This Row],[State]])</f>
        <v>210</v>
      </c>
      <c r="X8" s="30">
        <f>SUMIF([1]!Nurse[State], State10[[#This Row],[State]], [1]!Nurse[Total Nurse Staff Hours])/SUMIF([1]!Nurse[State], State10[[#This Row],[State]], [1]!Nurse[MDScensus])</f>
        <v>3.6435284922541751</v>
      </c>
      <c r="Y8" s="28">
        <f>RANK(State10[[#This Row],[Total Nurse Staff HPRD]], State10[Total Nurse Staff HPRD])</f>
        <v>39</v>
      </c>
      <c r="Z8" s="48" cm="1">
        <f t="array" ref="Z8">SUMPRODUCT(
   ([1]!Nurse[State]=State10[[#This Row],[State]]) *
   ([1]!Nurse[Expected Total Nurse Staff HPRD]) *
   ([1]!Nurse[MDScensus])
 ) /
 SUMIFS([1]!Nurse[MDScensus], [1]!Nurse[State], State10[[#This Row],[State]], [1]!Nurse[Expected Total Nurse Staff HPRD], "&gt;0")</f>
        <v>4.8951067533454609</v>
      </c>
      <c r="AA8" s="47">
        <f>IF(State10[[#This Row],[Expected Total Nurse Staff HPRD]]&lt;&gt;0,
   (State10[[#This Row],[Total Nurse Staff HPRD]] - State10[[#This Row],[Expected Total Nurse Staff HPRD]]) /
   ABS(State10[[#This Row],[Expected Total Nurse Staff HPRD]]),
   "")</f>
        <v>-0.25567946199251329</v>
      </c>
      <c r="AB8" s="47">
        <f>COUNTIFS([1]!Nurse[Total Nurse Staff HPRD], "&gt;=4.1", [1]!Nurse[State], State10[[#This Row],[State]])/(COUNTIF([1]!Nurse[State], State10[[#This Row],[State]]))</f>
        <v>0.26190476190476192</v>
      </c>
      <c r="AC8" s="47">
        <f>COUNTIFS([1]!Nurse[Total Nurse Staff HPRD], "&gt;=3.48", [1]!Nurse[State], State10[[#This Row],[State]])/(COUNTIF([1]!Nurse[State], State10[[#This Row],[State]]))</f>
        <v>0.52857142857142858</v>
      </c>
      <c r="AD8" s="47">
        <f>COUNTIFS([1]!Nurse[Total RN Staff HPRD], "&gt;=0.75", [1]!Nurse[State], State10[[#This Row],[State]])/(COUNTIF([1]!Nurse[State], State10[[#This Row],[State]]))</f>
        <v>0.51904761904761909</v>
      </c>
      <c r="AE8" s="48">
        <f>SUMIF([1]!Nurse[State], State10[[#This Row],[State]], [1]!Nurse[Total RN Hours (w/ Admin, DON)])/SUMIF([1]!Nurse[State], State10[[#This Row],[State]], [1]!Nurse[MDScensus])</f>
        <v>0.79066827823062136</v>
      </c>
      <c r="AF8" s="28">
        <f>RANK(State10[[#This Row],[RN Staff HPRD]], State10[RN Staff HPRD])</f>
        <v>15</v>
      </c>
      <c r="AG8" s="47">
        <f>SUMIF([1]!Nurse[State], State10[[#This Row],[State]], [1]!Nurse[Total Contract Hours])/SUMIF([1]!Nurse[State], State10[[#This Row],[State]], [1]!Nurse[Total Nurse Staff Hours])</f>
        <v>7.4595509079998373E-2</v>
      </c>
      <c r="AH8" s="28">
        <f>RANK(State10[[#This Row],[% Contract]],State10[% Contract])</f>
        <v>19</v>
      </c>
      <c r="AJ8" s="58" t="s">
        <v>302</v>
      </c>
      <c r="AK8" s="31">
        <f>SUM([1]!Nurse[Hrs_RNDON])</f>
        <v>76099.650999999445</v>
      </c>
      <c r="AL8" s="55">
        <f>Category11[[#This Row],[US Total]]/SUM([1]!Nurse[Total Nurse Staff Hours])</f>
        <v>1.6490432968091426E-2</v>
      </c>
      <c r="AM8" s="30">
        <f>Category11[[#This Row],[US Total]]/SUM([1]!Nurse[MDScensus])</f>
        <v>6.1517378779623842E-2</v>
      </c>
      <c r="AN8" s="32"/>
      <c r="AO8" s="32"/>
      <c r="AP8" s="32"/>
      <c r="AQ8" s="32"/>
      <c r="AR8" s="32"/>
      <c r="AS8" s="32"/>
    </row>
    <row r="9" spans="2:45" ht="15" customHeight="1" x14ac:dyDescent="0.2">
      <c r="B9" s="66" t="s">
        <v>301</v>
      </c>
      <c r="C9" s="65">
        <f>COUNTIF([1]!Nurse[Total Nurse Staff HPRD], "&gt;=3.48")/COUNTA([1]!Nurse[PROVNAME])</f>
        <v>0.63157171328431039</v>
      </c>
      <c r="D9" s="17" t="s">
        <v>294</v>
      </c>
      <c r="F9" s="17">
        <v>7</v>
      </c>
      <c r="G9" s="31">
        <f>SUMIF([1]!Nurse[CMS Region Number], CMSRegion9[[#This Row],[CMS Region Number]], [1]!Nurse[MDScensus])</f>
        <v>79044.844444444447</v>
      </c>
      <c r="H9" s="31">
        <f>COUNTIF([1]!Nurse[CMS Region Number], CMSRegion9[[#This Row],[CMS Region Number]])</f>
        <v>1342</v>
      </c>
      <c r="I9" s="30">
        <f>SUMIF([1]!Nurse[CMS Region Number], CMSRegion9[[#This Row],[CMS Region Number]], [1]!Nurse[Total Nurse Staff Hours])/SUMIF([1]!Nurse[CMS Region Number], CMSRegion9[[#This Row],[CMS Region Number]], [1]!Nurse[MDScensus])</f>
        <v>3.6362248757245421</v>
      </c>
      <c r="J9" s="31">
        <f>RANK(CMSRegion9[[#This Row],[Total Nurse Staff HPRD]], CMSRegion9[Total Nurse Staff HPRD])</f>
        <v>8</v>
      </c>
      <c r="K9" s="64" cm="1">
        <f t="array" ref="K9">SUMPRODUCT(
   ([1]!Nurse[CMS Region Number]=CMSRegion9[[#This Row],[CMS Region Number]]) *
   ([1]!Nurse[Expected Total Nurse Staff HPRD]) *
   ([1]!Nurse[MDScensus])
 ) /
 SUMIFS([1]!Nurse[MDScensus], [1]!Nurse[CMS Region Number], CMSRegion9[[#This Row],[CMS Region Number]], [1]!Nurse[Expected Total Nurse Staff HPRD], "&gt;0")</f>
        <v>4.8222896486899796</v>
      </c>
      <c r="L9" s="47">
        <f>IF(CMSRegion9[[#This Row],[Expected Total Nurse Staff HPRD]]&lt;&gt;0,
   (CMSRegion9[[#This Row],[Total Nurse Staff HPRD]] - CMSRegion9[[#This Row],[Expected Total Nurse Staff HPRD]]) /
   ABS(CMSRegion9[[#This Row],[Expected Total Nurse Staff HPRD]]),
   "")</f>
        <v>-0.2459546935940779</v>
      </c>
      <c r="M9" s="47">
        <f>COUNTIFS([1]!Nurse[Total Nurse Staff HPRD], "&gt;=4.1", [1]!Nurse[CMS Region Number], CMSRegion9[[#This Row],[CMS Region Number]])/(COUNTIF([1]!Nurse[CMS Region Number], CMSRegion9[[#This Row],[CMS Region Number]]))</f>
        <v>0.2608047690014903</v>
      </c>
      <c r="N9" s="47">
        <f>COUNTIFS([1]!Nurse[Total Nurse Staff HPRD], "&gt;=3.48", [1]!Nurse[CMS Region Number], CMSRegion9[[#This Row],[CMS Region Number]])/(COUNTIF([1]!Nurse[CMS Region Number], CMSRegion9[[#This Row],[CMS Region Number]]))</f>
        <v>0.57973174366616986</v>
      </c>
      <c r="O9" s="47">
        <f>COUNTIFS([1]!Nurse[Total RN Staff HPRD], "&gt;=0.75", [1]!Nurse[CMS Region Number], CMSRegion9[[#This Row],[CMS Region Number]])/(COUNTIF([1]!Nurse[CMS Region Number], CMSRegion9[[#This Row],[CMS Region Number]]))</f>
        <v>0.26453055141579734</v>
      </c>
      <c r="P9" s="48">
        <f>SUMIF([1]!Nurse[CMS Region Number], CMSRegion9[[#This Row],[CMS Region Number]], [1]!Nurse[Total RN Hours (w/ Admin, DON)])/SUMIF([1]!Nurse[CMS Region Number], CMSRegion9[[#This Row],[CMS Region Number]], [1]!Nurse[MDScensus])</f>
        <v>0.56415392190874469</v>
      </c>
      <c r="Q9" s="31">
        <f>RANK(CMSRegion9[[#This Row],[RN Staff HPRD]], CMSRegion9[RN Staff HPRD])</f>
        <v>9</v>
      </c>
      <c r="R9" s="47">
        <f>SUMIF([1]!Nurse[CMS Region Number], CMSRegion9[[#This Row],[CMS Region Number]], [1]!Nurse[Total Contract Hours])/SUMIF([1]!Nurse[CMS Region Number], CMSRegion9[[#This Row],[CMS Region Number]], [1]!Nurse[Total Nurse Staff Hours])</f>
        <v>5.7209988191281674E-2</v>
      </c>
      <c r="S9" s="31">
        <f>RANK(CMSRegion9[[#This Row],[% Contract]],CMSRegion9[% Contract])</f>
        <v>7</v>
      </c>
      <c r="U9" s="29" t="s">
        <v>268</v>
      </c>
      <c r="V9" s="31">
        <f>SUMIF([1]!Nurse[State], State10[[#This Row],[State]], [1]!Nurse[MDScensus])</f>
        <v>19691.155555555499</v>
      </c>
      <c r="W9" s="31">
        <f>COUNTIF([1]!Nurse[State], State10[[#This Row],[State]])</f>
        <v>195</v>
      </c>
      <c r="X9" s="30">
        <f>SUMIF([1]!Nurse[State], State10[[#This Row],[State]], [1]!Nurse[Total Nurse Staff Hours])/SUMIF([1]!Nurse[State], State10[[#This Row],[State]], [1]!Nurse[MDScensus])</f>
        <v>3.7125222886304332</v>
      </c>
      <c r="Y9" s="28">
        <f>RANK(State10[[#This Row],[Total Nurse Staff HPRD]], State10[Total Nurse Staff HPRD])</f>
        <v>33</v>
      </c>
      <c r="Z9" s="48" cm="1">
        <f t="array" ref="Z9">SUMPRODUCT(
   ([1]!Nurse[State]=State10[[#This Row],[State]]) *
   ([1]!Nurse[Expected Total Nurse Staff HPRD]) *
   ([1]!Nurse[MDScensus])
 ) /
 SUMIFS([1]!Nurse[MDScensus], [1]!Nurse[State], State10[[#This Row],[State]], [1]!Nurse[Expected Total Nurse Staff HPRD], "&gt;0")</f>
        <v>4.9241062718261555</v>
      </c>
      <c r="AA9" s="47">
        <f>IF(State10[[#This Row],[Expected Total Nurse Staff HPRD]]&lt;&gt;0,
   (State10[[#This Row],[Total Nurse Staff HPRD]] - State10[[#This Row],[Expected Total Nurse Staff HPRD]]) /
   ABS(State10[[#This Row],[Expected Total Nurse Staff HPRD]]),
   "")</f>
        <v>-0.24605155053779817</v>
      </c>
      <c r="AB9" s="47">
        <f>COUNTIFS([1]!Nurse[Total Nurse Staff HPRD], "&gt;=4.1", [1]!Nurse[State], State10[[#This Row],[State]])/(COUNTIF([1]!Nurse[State], State10[[#This Row],[State]]))</f>
        <v>0.21025641025641026</v>
      </c>
      <c r="AC9" s="47">
        <f>COUNTIFS([1]!Nurse[Total Nurse Staff HPRD], "&gt;=3.48", [1]!Nurse[State], State10[[#This Row],[State]])/(COUNTIF([1]!Nurse[State], State10[[#This Row],[State]]))</f>
        <v>0.66666666666666663</v>
      </c>
      <c r="AD9" s="47">
        <f>COUNTIFS([1]!Nurse[Total RN Staff HPRD], "&gt;=0.75", [1]!Nurse[State], State10[[#This Row],[State]])/(COUNTIF([1]!Nurse[State], State10[[#This Row],[State]]))</f>
        <v>0.31794871794871793</v>
      </c>
      <c r="AE9" s="48">
        <f>SUMIF([1]!Nurse[State], State10[[#This Row],[State]], [1]!Nurse[Total RN Hours (w/ Admin, DON)])/SUMIF([1]!Nurse[State], State10[[#This Row],[State]], [1]!Nurse[MDScensus])</f>
        <v>0.62444139613723992</v>
      </c>
      <c r="AF9" s="28">
        <f>RANK(State10[[#This Row],[RN Staff HPRD]], State10[RN Staff HPRD])</f>
        <v>34</v>
      </c>
      <c r="AG9" s="47">
        <f>SUMIF([1]!Nurse[State], State10[[#This Row],[State]], [1]!Nurse[Total Contract Hours])/SUMIF([1]!Nurse[State], State10[[#This Row],[State]], [1]!Nurse[Total Nurse Staff Hours])</f>
        <v>5.4324403037058329E-2</v>
      </c>
      <c r="AH9" s="28">
        <f>RANK(State10[[#This Row],[% Contract]],State10[% Contract])</f>
        <v>29</v>
      </c>
      <c r="AJ9" s="49" t="s">
        <v>300</v>
      </c>
      <c r="AK9" s="31">
        <f>SUM([1]!Nurse[Total LPN Hours (w/ Admin)])</f>
        <v>1072495.8076666647</v>
      </c>
      <c r="AL9" s="55">
        <f>Category11[[#This Row],[US Total]]/SUM([1]!Nurse[Total Nurse Staff Hours])</f>
        <v>0.23240474814905968</v>
      </c>
      <c r="AM9" s="30">
        <f>Category11[[#This Row],[US Total]]/SUM([1]!Nurse[MDScensus])</f>
        <v>0.8669833563335172</v>
      </c>
      <c r="AN9" s="32"/>
      <c r="AO9" s="32"/>
      <c r="AP9" s="32"/>
      <c r="AQ9" s="32"/>
      <c r="AR9" s="32"/>
      <c r="AS9" s="32"/>
    </row>
    <row r="10" spans="2:45" ht="15" customHeight="1" x14ac:dyDescent="0.2">
      <c r="B10" s="66" t="s">
        <v>299</v>
      </c>
      <c r="C10" s="65">
        <f>COUNTIF([1]!Nurse[Total RN Staff HPRD], "&gt;=0.75")/COUNTA([1]!Nurse[PROVNAME])</f>
        <v>0.29606212631434264</v>
      </c>
      <c r="D10" s="17" t="s">
        <v>294</v>
      </c>
      <c r="F10" s="17">
        <v>8</v>
      </c>
      <c r="G10" s="31">
        <f>SUMIF([1]!Nurse[CMS Region Number], CMSRegion9[[#This Row],[CMS Region Number]], [1]!Nurse[MDScensus])</f>
        <v>34990.788888888856</v>
      </c>
      <c r="H10" s="31">
        <f>COUNTIF([1]!Nurse[CMS Region Number], CMSRegion9[[#This Row],[CMS Region Number]])</f>
        <v>559</v>
      </c>
      <c r="I10" s="30">
        <f>SUMIF([1]!Nurse[CMS Region Number], CMSRegion9[[#This Row],[CMS Region Number]], [1]!Nurse[Total Nurse Staff Hours])/SUMIF([1]!Nurse[CMS Region Number], CMSRegion9[[#This Row],[CMS Region Number]], [1]!Nurse[MDScensus])</f>
        <v>3.8038151691349844</v>
      </c>
      <c r="J10" s="31">
        <f>RANK(CMSRegion9[[#This Row],[Total Nurse Staff HPRD]], CMSRegion9[Total Nurse Staff HPRD])</f>
        <v>4</v>
      </c>
      <c r="K10" s="64" cm="1">
        <f t="array" ref="K10">SUMPRODUCT(
   ([1]!Nurse[CMS Region Number]=CMSRegion9[[#This Row],[CMS Region Number]]) *
   ([1]!Nurse[Expected Total Nurse Staff HPRD]) *
   ([1]!Nurse[MDScensus])
 ) /
 SUMIFS([1]!Nurse[MDScensus], [1]!Nurse[CMS Region Number], CMSRegion9[[#This Row],[CMS Region Number]], [1]!Nurse[Expected Total Nurse Staff HPRD], "&gt;0")</f>
        <v>4.8812880888532346</v>
      </c>
      <c r="L10" s="47">
        <f>IF(CMSRegion9[[#This Row],[Expected Total Nurse Staff HPRD]]&lt;&gt;0,
   (CMSRegion9[[#This Row],[Total Nurse Staff HPRD]] - CMSRegion9[[#This Row],[Expected Total Nurse Staff HPRD]]) /
   ABS(CMSRegion9[[#This Row],[Expected Total Nurse Staff HPRD]]),
   "")</f>
        <v>-0.22073536740819202</v>
      </c>
      <c r="M10" s="47">
        <f>COUNTIFS([1]!Nurse[Total Nurse Staff HPRD], "&gt;=4.1", [1]!Nurse[CMS Region Number], CMSRegion9[[#This Row],[CMS Region Number]])/(COUNTIF([1]!Nurse[CMS Region Number], CMSRegion9[[#This Row],[CMS Region Number]]))</f>
        <v>0.33989266547406083</v>
      </c>
      <c r="N10" s="47">
        <f>COUNTIFS([1]!Nurse[Total Nurse Staff HPRD], "&gt;=3.48", [1]!Nurse[CMS Region Number], CMSRegion9[[#This Row],[CMS Region Number]])/(COUNTIF([1]!Nurse[CMS Region Number], CMSRegion9[[#This Row],[CMS Region Number]]))</f>
        <v>0.61717352415026838</v>
      </c>
      <c r="O10" s="47">
        <f>COUNTIFS([1]!Nurse[Total RN Staff HPRD], "&gt;=0.75", [1]!Nurse[CMS Region Number], CMSRegion9[[#This Row],[CMS Region Number]])/(COUNTIF([1]!Nurse[CMS Region Number], CMSRegion9[[#This Row],[CMS Region Number]]))</f>
        <v>0.59570661896243293</v>
      </c>
      <c r="P10" s="48">
        <f>SUMIF([1]!Nurse[CMS Region Number], CMSRegion9[[#This Row],[CMS Region Number]], [1]!Nurse[Total RN Hours (w/ Admin, DON)])/SUMIF([1]!Nurse[CMS Region Number], CMSRegion9[[#This Row],[CMS Region Number]], [1]!Nurse[MDScensus])</f>
        <v>0.85290902907463473</v>
      </c>
      <c r="Q10" s="31">
        <f>RANK(CMSRegion9[[#This Row],[RN Staff HPRD]], CMSRegion9[RN Staff HPRD])</f>
        <v>1</v>
      </c>
      <c r="R10" s="47">
        <f>SUMIF([1]!Nurse[CMS Region Number], CMSRegion9[[#This Row],[CMS Region Number]], [1]!Nurse[Total Contract Hours])/SUMIF([1]!Nurse[CMS Region Number], CMSRegion9[[#This Row],[CMS Region Number]], [1]!Nurse[Total Nurse Staff Hours])</f>
        <v>8.0273645838626201E-2</v>
      </c>
      <c r="S10" s="31">
        <f>RANK(CMSRegion9[[#This Row],[% Contract]],CMSRegion9[% Contract])</f>
        <v>3</v>
      </c>
      <c r="U10" s="29" t="s">
        <v>266</v>
      </c>
      <c r="V10" s="31">
        <f>SUMIF([1]!Nurse[State], State10[[#This Row],[State]], [1]!Nurse[MDScensus])</f>
        <v>2051.5999999999949</v>
      </c>
      <c r="W10" s="31">
        <f>COUNTIF([1]!Nurse[State], State10[[#This Row],[State]])</f>
        <v>17</v>
      </c>
      <c r="X10" s="30">
        <f>SUMIF([1]!Nurse[State], State10[[#This Row],[State]], [1]!Nurse[Total Nurse Staff Hours])/SUMIF([1]!Nurse[State], State10[[#This Row],[State]], [1]!Nurse[MDScensus])</f>
        <v>4.0268677563311037</v>
      </c>
      <c r="Y10" s="28">
        <f>RANK(State10[[#This Row],[Total Nurse Staff HPRD]], State10[Total Nurse Staff HPRD])</f>
        <v>14</v>
      </c>
      <c r="Z10" s="48" cm="1">
        <f t="array" ref="Z10">SUMPRODUCT(
   ([1]!Nurse[State]=State10[[#This Row],[State]]) *
   ([1]!Nurse[Expected Total Nurse Staff HPRD]) *
   ([1]!Nurse[MDScensus])
 ) /
 SUMIFS([1]!Nurse[MDScensus], [1]!Nurse[State], State10[[#This Row],[State]], [1]!Nurse[Expected Total Nurse Staff HPRD], "&gt;0")</f>
        <v>4.9774070886659958</v>
      </c>
      <c r="AA10" s="47">
        <f>IF(State10[[#This Row],[Expected Total Nurse Staff HPRD]]&lt;&gt;0,
   (State10[[#This Row],[Total Nurse Staff HPRD]] - State10[[#This Row],[Expected Total Nurse Staff HPRD]]) /
   ABS(State10[[#This Row],[Expected Total Nurse Staff HPRD]]),
   "")</f>
        <v>-0.19097078366351744</v>
      </c>
      <c r="AB10" s="47">
        <f>COUNTIFS([1]!Nurse[Total Nurse Staff HPRD], "&gt;=4.1", [1]!Nurse[State], State10[[#This Row],[State]])/(COUNTIF([1]!Nurse[State], State10[[#This Row],[State]]))</f>
        <v>0.6470588235294118</v>
      </c>
      <c r="AC10" s="47">
        <f>COUNTIFS([1]!Nurse[Total Nurse Staff HPRD], "&gt;=3.48", [1]!Nurse[State], State10[[#This Row],[State]])/(COUNTIF([1]!Nurse[State], State10[[#This Row],[State]]))</f>
        <v>0.82352941176470584</v>
      </c>
      <c r="AD10" s="47">
        <f>COUNTIFS([1]!Nurse[Total RN Staff HPRD], "&gt;=0.75", [1]!Nurse[State], State10[[#This Row],[State]])/(COUNTIF([1]!Nurse[State], State10[[#This Row],[State]]))</f>
        <v>0.94117647058823528</v>
      </c>
      <c r="AE10" s="48">
        <f>SUMIF([1]!Nurse[State], State10[[#This Row],[State]], [1]!Nurse[Total RN Hours (w/ Admin, DON)])/SUMIF([1]!Nurse[State], State10[[#This Row],[State]], [1]!Nurse[MDScensus])</f>
        <v>1.1441265895452879</v>
      </c>
      <c r="AF10" s="28">
        <f>RANK(State10[[#This Row],[RN Staff HPRD]], State10[RN Staff HPRD])</f>
        <v>4</v>
      </c>
      <c r="AG10" s="47">
        <f>SUMIF([1]!Nurse[State], State10[[#This Row],[State]], [1]!Nurse[Total Contract Hours])/SUMIF([1]!Nurse[State], State10[[#This Row],[State]], [1]!Nurse[Total Nurse Staff Hours])</f>
        <v>5.3967807411109639E-2</v>
      </c>
      <c r="AH10" s="28">
        <f>RANK(State10[[#This Row],[% Contract]],State10[% Contract])</f>
        <v>31</v>
      </c>
      <c r="AJ10" s="58" t="s">
        <v>298</v>
      </c>
      <c r="AK10" s="31">
        <f>SUM([1]!Nurse[Hrs_LPN])</f>
        <v>971815.96877777029</v>
      </c>
      <c r="AL10" s="55">
        <f>Category11[[#This Row],[US Total]]/SUM([1]!Nurse[Total Nurse Staff Hours])</f>
        <v>0.21058790519881318</v>
      </c>
      <c r="AM10" s="30">
        <f>Category11[[#This Row],[US Total]]/SUM([1]!Nurse[MDScensus])</f>
        <v>0.78559586371019796</v>
      </c>
      <c r="AN10" s="32"/>
      <c r="AO10" s="32"/>
      <c r="AP10" s="32"/>
      <c r="AQ10" s="32"/>
      <c r="AR10" s="32"/>
      <c r="AS10" s="32"/>
    </row>
    <row r="11" spans="2:45" ht="15" customHeight="1" x14ac:dyDescent="0.2">
      <c r="B11" s="66" t="s">
        <v>297</v>
      </c>
      <c r="C11" s="65">
        <f>COUNTIFS([1]!Nurse[Total Nurse Staff HPRD], "&gt;=3.48", [1]!Nurse[Total RN Staff HPRD], "&gt;=0.75")/COUNTA([1]!Nurse[PROVNAME])</f>
        <v>0.25585870386914988</v>
      </c>
      <c r="D11" s="17" t="s">
        <v>294</v>
      </c>
      <c r="F11" s="17">
        <v>9</v>
      </c>
      <c r="G11" s="31">
        <f>SUMIF([1]!Nurse[CMS Region Number], CMSRegion9[[#This Row],[CMS Region Number]], [1]!Nurse[MDScensus])</f>
        <v>121838.18888888875</v>
      </c>
      <c r="H11" s="31">
        <f>COUNTIF([1]!Nurse[CMS Region Number], CMSRegion9[[#This Row],[CMS Region Number]])</f>
        <v>1390</v>
      </c>
      <c r="I11" s="30">
        <f>SUMIF([1]!Nurse[CMS Region Number], CMSRegion9[[#This Row],[CMS Region Number]], [1]!Nurse[Total Nurse Staff Hours])/SUMIF([1]!Nurse[CMS Region Number], CMSRegion9[[#This Row],[CMS Region Number]], [1]!Nurse[MDScensus])</f>
        <v>4.2661477641064351</v>
      </c>
      <c r="J11" s="31">
        <f>RANK(CMSRegion9[[#This Row],[Total Nurse Staff HPRD]], CMSRegion9[Total Nurse Staff HPRD])</f>
        <v>2</v>
      </c>
      <c r="K11" s="64" cm="1">
        <f t="array" ref="K11">SUMPRODUCT(
   ([1]!Nurse[CMS Region Number]=CMSRegion9[[#This Row],[CMS Region Number]]) *
   ([1]!Nurse[Expected Total Nurse Staff HPRD]) *
   ([1]!Nurse[MDScensus])
 ) /
 SUMIFS([1]!Nurse[MDScensus], [1]!Nurse[CMS Region Number], CMSRegion9[[#This Row],[CMS Region Number]], [1]!Nurse[Expected Total Nurse Staff HPRD], "&gt;0")</f>
        <v>5.0696258520773592</v>
      </c>
      <c r="L11" s="47">
        <f>IF(CMSRegion9[[#This Row],[Expected Total Nurse Staff HPRD]]&lt;&gt;0,
   (CMSRegion9[[#This Row],[Total Nurse Staff HPRD]] - CMSRegion9[[#This Row],[Expected Total Nurse Staff HPRD]]) /
   ABS(CMSRegion9[[#This Row],[Expected Total Nurse Staff HPRD]]),
   "")</f>
        <v>-0.15848863632445109</v>
      </c>
      <c r="M11" s="47">
        <f>COUNTIFS([1]!Nurse[Total Nurse Staff HPRD], "&gt;=4.1", [1]!Nurse[CMS Region Number], CMSRegion9[[#This Row],[CMS Region Number]])/(COUNTIF([1]!Nurse[CMS Region Number], CMSRegion9[[#This Row],[CMS Region Number]]))</f>
        <v>0.55827338129496407</v>
      </c>
      <c r="N11" s="47">
        <f>COUNTIFS([1]!Nurse[Total Nurse Staff HPRD], "&gt;=3.48", [1]!Nurse[CMS Region Number], CMSRegion9[[#This Row],[CMS Region Number]])/(COUNTIF([1]!Nurse[CMS Region Number], CMSRegion9[[#This Row],[CMS Region Number]]))</f>
        <v>0.93381294964028771</v>
      </c>
      <c r="O11" s="47">
        <f>COUNTIFS([1]!Nurse[Total RN Staff HPRD], "&gt;=0.75", [1]!Nurse[CMS Region Number], CMSRegion9[[#This Row],[CMS Region Number]])/(COUNTIF([1]!Nurse[CMS Region Number], CMSRegion9[[#This Row],[CMS Region Number]]))</f>
        <v>0.24892086330935251</v>
      </c>
      <c r="P11" s="48">
        <f>SUMIF([1]!Nurse[CMS Region Number], CMSRegion9[[#This Row],[CMS Region Number]], [1]!Nurse[Total RN Hours (w/ Admin, DON)])/SUMIF([1]!Nurse[CMS Region Number], CMSRegion9[[#This Row],[CMS Region Number]], [1]!Nurse[MDScensus])</f>
        <v>0.59593128208205404</v>
      </c>
      <c r="Q11" s="31">
        <f>RANK(CMSRegion9[[#This Row],[RN Staff HPRD]], CMSRegion9[RN Staff HPRD])</f>
        <v>8</v>
      </c>
      <c r="R11" s="47">
        <f>SUMIF([1]!Nurse[CMS Region Number], CMSRegion9[[#This Row],[CMS Region Number]], [1]!Nurse[Total Contract Hours])/SUMIF([1]!Nurse[CMS Region Number], CMSRegion9[[#This Row],[CMS Region Number]], [1]!Nurse[Total Nurse Staff Hours])</f>
        <v>3.1816580733946088E-2</v>
      </c>
      <c r="S11" s="31">
        <f>RANK(CMSRegion9[[#This Row],[% Contract]],CMSRegion9[% Contract])</f>
        <v>10</v>
      </c>
      <c r="U11" s="29" t="s">
        <v>264</v>
      </c>
      <c r="V11" s="31">
        <f>SUMIF([1]!Nurse[State], State10[[#This Row],[State]], [1]!Nurse[MDScensus])</f>
        <v>3844.0111111111032</v>
      </c>
      <c r="W11" s="31">
        <f>COUNTIF([1]!Nurse[State], State10[[#This Row],[State]])</f>
        <v>43</v>
      </c>
      <c r="X11" s="30">
        <f>SUMIF([1]!Nurse[State], State10[[#This Row],[State]], [1]!Nurse[Total Nurse Staff Hours])/SUMIF([1]!Nurse[State], State10[[#This Row],[State]], [1]!Nurse[MDScensus])</f>
        <v>4.1305217640138681</v>
      </c>
      <c r="Y11" s="28">
        <f>RANK(State10[[#This Row],[Total Nurse Staff HPRD]], State10[Total Nurse Staff HPRD])</f>
        <v>10</v>
      </c>
      <c r="Z11" s="48" cm="1">
        <f t="array" ref="Z11">SUMPRODUCT(
   ([1]!Nurse[State]=State10[[#This Row],[State]]) *
   ([1]!Nurse[Expected Total Nurse Staff HPRD]) *
   ([1]!Nurse[MDScensus])
 ) /
 SUMIFS([1]!Nurse[MDScensus], [1]!Nurse[State], State10[[#This Row],[State]], [1]!Nurse[Expected Total Nurse Staff HPRD], "&gt;0")</f>
        <v>4.922873908116248</v>
      </c>
      <c r="AA11" s="47">
        <f>IF(State10[[#This Row],[Expected Total Nurse Staff HPRD]]&lt;&gt;0,
   (State10[[#This Row],[Total Nurse Staff HPRD]] - State10[[#This Row],[Expected Total Nurse Staff HPRD]]) /
   ABS(State10[[#This Row],[Expected Total Nurse Staff HPRD]]),
   "")</f>
        <v>-0.16095316656314193</v>
      </c>
      <c r="AB11" s="47">
        <f>COUNTIFS([1]!Nurse[Total Nurse Staff HPRD], "&gt;=4.1", [1]!Nurse[State], State10[[#This Row],[State]])/(COUNTIF([1]!Nurse[State], State10[[#This Row],[State]]))</f>
        <v>0.41860465116279072</v>
      </c>
      <c r="AC11" s="47">
        <f>COUNTIFS([1]!Nurse[Total Nurse Staff HPRD], "&gt;=3.48", [1]!Nurse[State], State10[[#This Row],[State]])/(COUNTIF([1]!Nurse[State], State10[[#This Row],[State]]))</f>
        <v>1</v>
      </c>
      <c r="AD11" s="47">
        <f>COUNTIFS([1]!Nurse[Total RN Staff HPRD], "&gt;=0.75", [1]!Nurse[State], State10[[#This Row],[State]])/(COUNTIF([1]!Nurse[State], State10[[#This Row],[State]]))</f>
        <v>0.65116279069767447</v>
      </c>
      <c r="AE11" s="48">
        <f>SUMIF([1]!Nurse[State], State10[[#This Row],[State]], [1]!Nurse[Total RN Hours (w/ Admin, DON)])/SUMIF([1]!Nurse[State], State10[[#This Row],[State]], [1]!Nurse[MDScensus])</f>
        <v>0.83542043756377204</v>
      </c>
      <c r="AF11" s="28">
        <f>RANK(State10[[#This Row],[RN Staff HPRD]], State10[RN Staff HPRD])</f>
        <v>13</v>
      </c>
      <c r="AG11" s="47">
        <f>SUMIF([1]!Nurse[State], State10[[#This Row],[State]], [1]!Nurse[Total Contract Hours])/SUMIF([1]!Nurse[State], State10[[#This Row],[State]], [1]!Nurse[Total Nurse Staff Hours])</f>
        <v>6.5993573797341623E-2</v>
      </c>
      <c r="AH11" s="28">
        <f>RANK(State10[[#This Row],[% Contract]],State10[% Contract])</f>
        <v>21</v>
      </c>
      <c r="AJ11" s="58" t="s">
        <v>296</v>
      </c>
      <c r="AK11" s="31">
        <f>SUM([1]!Nurse[Hrs_LPNadmin])</f>
        <v>100679.8388888886</v>
      </c>
      <c r="AL11" s="55">
        <f>Category11[[#This Row],[US Total]]/SUM([1]!Nurse[Total Nurse Staff Hours])</f>
        <v>2.181684295024525E-2</v>
      </c>
      <c r="AM11" s="30">
        <f>Category11[[#This Row],[US Total]]/SUM([1]!Nurse[MDScensus])</f>
        <v>8.1387492623314503E-2</v>
      </c>
      <c r="AN11" s="32"/>
      <c r="AO11" s="32"/>
      <c r="AP11" s="32"/>
      <c r="AQ11" s="32"/>
      <c r="AR11" s="32"/>
      <c r="AS11" s="32"/>
    </row>
    <row r="12" spans="2:45" ht="15" customHeight="1" x14ac:dyDescent="0.2">
      <c r="B12" s="63" t="s">
        <v>265</v>
      </c>
      <c r="C12" s="62">
        <f>SUM([1]!Nurse[MDScensus])</f>
        <v>1237043.1333333342</v>
      </c>
      <c r="D12" s="62" t="s">
        <v>294</v>
      </c>
      <c r="F12" s="17">
        <v>10</v>
      </c>
      <c r="G12" s="31">
        <f>SUMIF([1]!Nurse[CMS Region Number], CMSRegion9[[#This Row],[CMS Region Number]], [1]!Nurse[MDScensus])</f>
        <v>25907.111111111029</v>
      </c>
      <c r="H12" s="31">
        <f>COUNTIF([1]!Nurse[CMS Region Number], CMSRegion9[[#This Row],[CMS Region Number]])</f>
        <v>413</v>
      </c>
      <c r="I12" s="30">
        <f>SUMIF([1]!Nurse[CMS Region Number], CMSRegion9[[#This Row],[CMS Region Number]], [1]!Nurse[Total Nurse Staff Hours])/SUMIF([1]!Nurse[CMS Region Number], CMSRegion9[[#This Row],[CMS Region Number]], [1]!Nurse[MDScensus])</f>
        <v>4.4793495694018031</v>
      </c>
      <c r="J12" s="31">
        <f>RANK(CMSRegion9[[#This Row],[Total Nurse Staff HPRD]], CMSRegion9[Total Nurse Staff HPRD])</f>
        <v>1</v>
      </c>
      <c r="K12" s="64" cm="1">
        <f t="array" ref="K12">SUMPRODUCT(
   ([1]!Nurse[CMS Region Number]=CMSRegion9[[#This Row],[CMS Region Number]]) *
   ([1]!Nurse[Expected Total Nurse Staff HPRD]) *
   ([1]!Nurse[MDScensus])
 ) /
 SUMIFS([1]!Nurse[MDScensus], [1]!Nurse[CMS Region Number], CMSRegion9[[#This Row],[CMS Region Number]], [1]!Nurse[Expected Total Nurse Staff HPRD], "&gt;0")</f>
        <v>5.0172487556249292</v>
      </c>
      <c r="L12" s="47">
        <f>IF(CMSRegion9[[#This Row],[Expected Total Nurse Staff HPRD]]&lt;&gt;0,
   (CMSRegion9[[#This Row],[Total Nurse Staff HPRD]] - CMSRegion9[[#This Row],[Expected Total Nurse Staff HPRD]]) /
   ABS(CMSRegion9[[#This Row],[Expected Total Nurse Staff HPRD]]),
   "")</f>
        <v>-0.10720998946286599</v>
      </c>
      <c r="M12" s="47">
        <f>COUNTIFS([1]!Nurse[Total Nurse Staff HPRD], "&gt;=4.1", [1]!Nurse[CMS Region Number], CMSRegion9[[#This Row],[CMS Region Number]])/(COUNTIF([1]!Nurse[CMS Region Number], CMSRegion9[[#This Row],[CMS Region Number]]))</f>
        <v>0.65375302663438262</v>
      </c>
      <c r="N12" s="47">
        <f>COUNTIFS([1]!Nurse[Total Nurse Staff HPRD], "&gt;=3.48", [1]!Nurse[CMS Region Number], CMSRegion9[[#This Row],[CMS Region Number]])/(COUNTIF([1]!Nurse[CMS Region Number], CMSRegion9[[#This Row],[CMS Region Number]]))</f>
        <v>0.96125907990314774</v>
      </c>
      <c r="O12" s="47">
        <f>COUNTIFS([1]!Nurse[Total RN Staff HPRD], "&gt;=0.75", [1]!Nurse[CMS Region Number], CMSRegion9[[#This Row],[CMS Region Number]])/(COUNTIF([1]!Nurse[CMS Region Number], CMSRegion9[[#This Row],[CMS Region Number]]))</f>
        <v>0.52300242130750607</v>
      </c>
      <c r="P12" s="48">
        <f>SUMIF([1]!Nurse[CMS Region Number], CMSRegion9[[#This Row],[CMS Region Number]], [1]!Nurse[Total RN Hours (w/ Admin, DON)])/SUMIF([1]!Nurse[CMS Region Number], CMSRegion9[[#This Row],[CMS Region Number]], [1]!Nurse[MDScensus])</f>
        <v>0.81201103944005182</v>
      </c>
      <c r="Q12" s="31">
        <f>RANK(CMSRegion9[[#This Row],[RN Staff HPRD]], CMSRegion9[RN Staff HPRD])</f>
        <v>2</v>
      </c>
      <c r="R12" s="47">
        <f>SUMIF([1]!Nurse[CMS Region Number], CMSRegion9[[#This Row],[CMS Region Number]], [1]!Nurse[Total Contract Hours])/SUMIF([1]!Nurse[CMS Region Number], CMSRegion9[[#This Row],[CMS Region Number]], [1]!Nurse[Total Nurse Staff Hours])</f>
        <v>7.0386452199591068E-2</v>
      </c>
      <c r="S12" s="31">
        <f>RANK(CMSRegion9[[#This Row],[% Contract]],CMSRegion9[% Contract])</f>
        <v>5</v>
      </c>
      <c r="U12" s="29" t="s">
        <v>262</v>
      </c>
      <c r="V12" s="31">
        <f>SUMIF([1]!Nurse[State], State10[[#This Row],[State]], [1]!Nurse[MDScensus])</f>
        <v>74657.033333333136</v>
      </c>
      <c r="W12" s="31">
        <f>COUNTIF([1]!Nurse[State], State10[[#This Row],[State]])</f>
        <v>686</v>
      </c>
      <c r="X12" s="30">
        <f>SUMIF([1]!Nurse[State], State10[[#This Row],[State]], [1]!Nurse[Total Nurse Staff Hours])/SUMIF([1]!Nurse[State], State10[[#This Row],[State]], [1]!Nurse[MDScensus])</f>
        <v>3.7862467523711802</v>
      </c>
      <c r="Y12" s="28">
        <f>RANK(State10[[#This Row],[Total Nurse Staff HPRD]], State10[Total Nurse Staff HPRD])</f>
        <v>28</v>
      </c>
      <c r="Z12" s="48" cm="1">
        <f t="array" ref="Z12">SUMPRODUCT(
   ([1]!Nurse[State]=State10[[#This Row],[State]]) *
   ([1]!Nurse[Expected Total Nurse Staff HPRD]) *
   ([1]!Nurse[MDScensus])
 ) /
 SUMIFS([1]!Nurse[MDScensus], [1]!Nurse[State], State10[[#This Row],[State]], [1]!Nurse[Expected Total Nurse Staff HPRD], "&gt;0")</f>
        <v>4.8913553142441337</v>
      </c>
      <c r="AA12" s="47">
        <f>IF(State10[[#This Row],[Expected Total Nurse Staff HPRD]]&lt;&gt;0,
   (State10[[#This Row],[Total Nurse Staff HPRD]] - State10[[#This Row],[Expected Total Nurse Staff HPRD]]) /
   ABS(State10[[#This Row],[Expected Total Nurse Staff HPRD]]),
   "")</f>
        <v>-0.22593095182735198</v>
      </c>
      <c r="AB12" s="47">
        <f>COUNTIFS([1]!Nurse[Total Nurse Staff HPRD], "&gt;=4.1", [1]!Nurse[State], State10[[#This Row],[State]])/(COUNTIF([1]!Nurse[State], State10[[#This Row],[State]]))</f>
        <v>0.20699708454810495</v>
      </c>
      <c r="AC12" s="47">
        <f>COUNTIFS([1]!Nurse[Total Nurse Staff HPRD], "&gt;=3.48", [1]!Nurse[State], State10[[#This Row],[State]])/(COUNTIF([1]!Nurse[State], State10[[#This Row],[State]]))</f>
        <v>0.7434402332361516</v>
      </c>
      <c r="AD12" s="47">
        <f>COUNTIFS([1]!Nurse[Total RN Staff HPRD], "&gt;=0.75", [1]!Nurse[State], State10[[#This Row],[State]])/(COUNTIF([1]!Nurse[State], State10[[#This Row],[State]]))</f>
        <v>0.35860058309037901</v>
      </c>
      <c r="AE12" s="48">
        <f>SUMIF([1]!Nurse[State], State10[[#This Row],[State]], [1]!Nurse[Total RN Hours (w/ Admin, DON)])/SUMIF([1]!Nurse[State], State10[[#This Row],[State]], [1]!Nurse[MDScensus])</f>
        <v>0.71115883105751965</v>
      </c>
      <c r="AF12" s="28">
        <f>RANK(State10[[#This Row],[RN Staff HPRD]], State10[RN Staff HPRD])</f>
        <v>22</v>
      </c>
      <c r="AG12" s="47">
        <f>SUMIF([1]!Nurse[State], State10[[#This Row],[State]], [1]!Nurse[Total Contract Hours])/SUMIF([1]!Nurse[State], State10[[#This Row],[State]], [1]!Nurse[Total Nurse Staff Hours])</f>
        <v>1.9198827702296143E-2</v>
      </c>
      <c r="AH12" s="28">
        <f>RANK(State10[[#This Row],[% Contract]],State10[% Contract])</f>
        <v>51</v>
      </c>
      <c r="AJ12" s="49" t="s">
        <v>295</v>
      </c>
      <c r="AK12" s="31">
        <f>SUM([1]!Nurse[Hrs_CNA], [1]!Nurse[Hrs_NAtrn], [1]!Nurse[Hrs_MedAide])</f>
        <v>2783035.3158888887</v>
      </c>
      <c r="AL12" s="55">
        <f>Category11[[#This Row],[US Total]]/SUM([1]!Nurse[Total Nurse Staff Hours])</f>
        <v>0.60307053608560179</v>
      </c>
      <c r="AM12" s="30">
        <f>Category11[[#This Row],[US Total]]/SUM([1]!Nurse[MDScensus])</f>
        <v>2.2497480006131449</v>
      </c>
      <c r="AN12" s="32"/>
      <c r="AO12" s="32"/>
      <c r="AP12" s="32"/>
      <c r="AQ12" s="32"/>
      <c r="AR12" s="32"/>
      <c r="AS12" s="32"/>
    </row>
    <row r="13" spans="2:45" ht="15" customHeight="1" x14ac:dyDescent="0.2">
      <c r="B13" s="63" t="s">
        <v>267</v>
      </c>
      <c r="C13" s="62">
        <f>COUNTA([1]!Nurse[PROVNAME])</f>
        <v>14551</v>
      </c>
      <c r="D13" s="62" t="s">
        <v>294</v>
      </c>
      <c r="E13" s="61"/>
      <c r="J13" s="31"/>
      <c r="K13" s="31"/>
      <c r="L13" s="31"/>
      <c r="M13" s="31"/>
      <c r="N13" s="31"/>
      <c r="O13" s="31"/>
      <c r="P13" s="31"/>
      <c r="Q13" s="31"/>
      <c r="R13" s="31"/>
      <c r="S13" s="31"/>
      <c r="U13" s="29" t="s">
        <v>261</v>
      </c>
      <c r="V13" s="31">
        <f>SUMIF([1]!Nurse[State], State10[[#This Row],[State]], [1]!Nurse[MDScensus])</f>
        <v>30988.577777777689</v>
      </c>
      <c r="W13" s="31">
        <f>COUNTIF([1]!Nurse[State], State10[[#This Row],[State]])</f>
        <v>350</v>
      </c>
      <c r="X13" s="30">
        <f>SUMIF([1]!Nurse[State], State10[[#This Row],[State]], [1]!Nurse[Total Nurse Staff Hours])/SUMIF([1]!Nurse[State], State10[[#This Row],[State]], [1]!Nurse[MDScensus])</f>
        <v>3.4735166434083977</v>
      </c>
      <c r="Y13" s="28">
        <f>RANK(State10[[#This Row],[Total Nurse Staff HPRD]], State10[Total Nurse Staff HPRD])</f>
        <v>48</v>
      </c>
      <c r="Z13" s="48" cm="1">
        <f t="array" ref="Z13">SUMPRODUCT(
   ([1]!Nurse[State]=State10[[#This Row],[State]]) *
   ([1]!Nurse[Expected Total Nurse Staff HPRD]) *
   ([1]!Nurse[MDScensus])
 ) /
 SUMIFS([1]!Nurse[MDScensus], [1]!Nurse[State], State10[[#This Row],[State]], [1]!Nurse[Expected Total Nurse Staff HPRD], "&gt;0")</f>
        <v>5.0196547950313777</v>
      </c>
      <c r="AA13" s="47">
        <f>IF(State10[[#This Row],[Expected Total Nurse Staff HPRD]]&lt;&gt;0,
   (State10[[#This Row],[Total Nurse Staff HPRD]] - State10[[#This Row],[Expected Total Nurse Staff HPRD]]) /
   ABS(State10[[#This Row],[Expected Total Nurse Staff HPRD]]),
   "")</f>
        <v>-0.30801682879735059</v>
      </c>
      <c r="AB13" s="47">
        <f>COUNTIFS([1]!Nurse[Total Nurse Staff HPRD], "&gt;=4.1", [1]!Nurse[State], State10[[#This Row],[State]])/(COUNTIF([1]!Nurse[State], State10[[#This Row],[State]]))</f>
        <v>0.13428571428571429</v>
      </c>
      <c r="AC13" s="47">
        <f>COUNTIFS([1]!Nurse[Total Nurse Staff HPRD], "&gt;=3.48", [1]!Nurse[State], State10[[#This Row],[State]])/(COUNTIF([1]!Nurse[State], State10[[#This Row],[State]]))</f>
        <v>0.4514285714285714</v>
      </c>
      <c r="AD13" s="47">
        <f>COUNTIFS([1]!Nurse[Total RN Staff HPRD], "&gt;=0.75", [1]!Nurse[State], State10[[#This Row],[State]])/(COUNTIF([1]!Nurse[State], State10[[#This Row],[State]]))</f>
        <v>0.10571428571428572</v>
      </c>
      <c r="AE13" s="48">
        <f>SUMIF([1]!Nurse[State], State10[[#This Row],[State]], [1]!Nurse[Total RN Hours (w/ Admin, DON)])/SUMIF([1]!Nurse[State], State10[[#This Row],[State]], [1]!Nurse[MDScensus])</f>
        <v>0.44164626607940211</v>
      </c>
      <c r="AF13" s="28">
        <f>RANK(State10[[#This Row],[RN Staff HPRD]], State10[RN Staff HPRD])</f>
        <v>47</v>
      </c>
      <c r="AG13" s="47">
        <f>SUMIF([1]!Nurse[State], State10[[#This Row],[State]], [1]!Nurse[Total Contract Hours])/SUMIF([1]!Nurse[State], State10[[#This Row],[State]], [1]!Nurse[Total Nurse Staff Hours])</f>
        <v>3.835589578831252E-2</v>
      </c>
      <c r="AH13" s="28">
        <f>RANK(State10[[#This Row],[% Contract]],State10[% Contract])</f>
        <v>40</v>
      </c>
      <c r="AJ13" s="58" t="s">
        <v>219</v>
      </c>
      <c r="AK13" s="31">
        <f>SUM([1]!Nurse[Hrs_CNA])</f>
        <v>2599986.8871111055</v>
      </c>
      <c r="AL13" s="55">
        <f>Category11[[#This Row],[US Total]]/SUM([1]!Nurse[Total Nurse Staff Hours])</f>
        <v>0.56340481088175665</v>
      </c>
      <c r="AM13" s="30">
        <f>Category11[[#This Row],[US Total]]/SUM([1]!Nurse[MDScensus])</f>
        <v>2.101775449094637</v>
      </c>
      <c r="AN13" s="32"/>
      <c r="AO13" s="32"/>
      <c r="AP13" s="32"/>
      <c r="AQ13" s="32"/>
      <c r="AR13" s="32"/>
      <c r="AS13" s="32"/>
    </row>
    <row r="14" spans="2:45" ht="15" customHeight="1" x14ac:dyDescent="0.2">
      <c r="B14" s="60" t="s">
        <v>263</v>
      </c>
      <c r="C14" s="38">
        <f>AVERAGE([1]!Nurse[MDScensus])</f>
        <v>85.014303713376009</v>
      </c>
      <c r="D14" s="57">
        <f>MEDIAN([1]!Nurse[MDScensus])</f>
        <v>77.3</v>
      </c>
      <c r="F14" s="34"/>
      <c r="G14" s="30"/>
      <c r="H14" s="59"/>
      <c r="J14" s="31"/>
      <c r="K14" s="31"/>
      <c r="L14" s="31"/>
      <c r="M14" s="31"/>
      <c r="N14" s="31"/>
      <c r="O14" s="31"/>
      <c r="P14" s="31"/>
      <c r="Q14" s="31"/>
      <c r="R14" s="31"/>
      <c r="S14" s="31"/>
      <c r="U14" s="29" t="s">
        <v>260</v>
      </c>
      <c r="V14" s="31">
        <f>SUMIF([1]!Nurse[State], State10[[#This Row],[State]], [1]!Nurse[MDScensus])</f>
        <v>3409.9444444444398</v>
      </c>
      <c r="W14" s="31">
        <f>COUNTIF([1]!Nurse[State], State10[[#This Row],[State]])</f>
        <v>42</v>
      </c>
      <c r="X14" s="30">
        <f>SUMIF([1]!Nurse[State], State10[[#This Row],[State]], [1]!Nurse[Total Nurse Staff Hours])/SUMIF([1]!Nurse[State], State10[[#This Row],[State]], [1]!Nurse[MDScensus])</f>
        <v>4.4594577298424536</v>
      </c>
      <c r="Y14" s="28">
        <f>RANK(State10[[#This Row],[Total Nurse Staff HPRD]], State10[Total Nurse Staff HPRD])</f>
        <v>4</v>
      </c>
      <c r="Z14" s="48" cm="1">
        <f t="array" ref="Z14">SUMPRODUCT(
   ([1]!Nurse[State]=State10[[#This Row],[State]]) *
   ([1]!Nurse[Expected Total Nurse Staff HPRD]) *
   ([1]!Nurse[MDScensus])
 ) /
 SUMIFS([1]!Nurse[MDScensus], [1]!Nurse[State], State10[[#This Row],[State]], [1]!Nurse[Expected Total Nurse Staff HPRD], "&gt;0")</f>
        <v>5.1004794755860319</v>
      </c>
      <c r="AA14" s="47">
        <f>IF(State10[[#This Row],[Expected Total Nurse Staff HPRD]]&lt;&gt;0,
   (State10[[#This Row],[Total Nurse Staff HPRD]] - State10[[#This Row],[Expected Total Nurse Staff HPRD]]) /
   ABS(State10[[#This Row],[Expected Total Nurse Staff HPRD]]),
   "")</f>
        <v>-0.12567872271850022</v>
      </c>
      <c r="AB14" s="47">
        <f>COUNTIFS([1]!Nurse[Total Nurse Staff HPRD], "&gt;=4.1", [1]!Nurse[State], State10[[#This Row],[State]])/(COUNTIF([1]!Nurse[State], State10[[#This Row],[State]]))</f>
        <v>0.59523809523809523</v>
      </c>
      <c r="AC14" s="47">
        <f>COUNTIFS([1]!Nurse[Total Nurse Staff HPRD], "&gt;=3.48", [1]!Nurse[State], State10[[#This Row],[State]])/(COUNTIF([1]!Nurse[State], State10[[#This Row],[State]]))</f>
        <v>0.97619047619047616</v>
      </c>
      <c r="AD14" s="47">
        <f>COUNTIFS([1]!Nurse[Total RN Staff HPRD], "&gt;=0.75", [1]!Nurse[State], State10[[#This Row],[State]])/(COUNTIF([1]!Nurse[State], State10[[#This Row],[State]]))</f>
        <v>0.97619047619047616</v>
      </c>
      <c r="AE14" s="48">
        <f>SUMIF([1]!Nurse[State], State10[[#This Row],[State]], [1]!Nurse[Total RN Hours (w/ Admin, DON)])/SUMIF([1]!Nurse[State], State10[[#This Row],[State]], [1]!Nurse[MDScensus])</f>
        <v>1.4927417520650381</v>
      </c>
      <c r="AF14" s="28">
        <f>RANK(State10[[#This Row],[RN Staff HPRD]], State10[RN Staff HPRD])</f>
        <v>3</v>
      </c>
      <c r="AG14" s="47">
        <f>SUMIF([1]!Nurse[State], State10[[#This Row],[State]], [1]!Nurse[Total Contract Hours])/SUMIF([1]!Nurse[State], State10[[#This Row],[State]], [1]!Nurse[Total Nurse Staff Hours])</f>
        <v>7.9011729543079653E-2</v>
      </c>
      <c r="AH14" s="28">
        <f>RANK(State10[[#This Row],[% Contract]],State10[% Contract])</f>
        <v>17</v>
      </c>
      <c r="AJ14" s="58" t="s">
        <v>211</v>
      </c>
      <c r="AK14" s="31">
        <f>SUM([1]!Nurse[Hrs_NAtrn])</f>
        <v>51707.296777777599</v>
      </c>
      <c r="AL14" s="55">
        <f>Category11[[#This Row],[US Total]]/SUM([1]!Nurse[Total Nurse Staff Hours])</f>
        <v>1.1204725649466611E-2</v>
      </c>
      <c r="AM14" s="30">
        <f>Category11[[#This Row],[US Total]]/SUM([1]!Nurse[MDScensus])</f>
        <v>4.1799105774466577E-2</v>
      </c>
    </row>
    <row r="15" spans="2:45" ht="15" customHeight="1" x14ac:dyDescent="0.2">
      <c r="B15" s="54" t="s">
        <v>6</v>
      </c>
      <c r="C15" s="38">
        <f>SUMPRODUCT(
   [1]!Nurse[Expected Total Nurse Staff HPRD],
   [1]!Nurse[MDScensus]
) /
SUMIFS([1]!Nurse[MDScensus], [1]!Nurse[Expected Total Nurse Staff HPRD], "&gt;0")</f>
        <v>4.969711538477287</v>
      </c>
      <c r="D15" s="57">
        <f>MEDIAN([1]!Nurse[Expected Total Nurse Staff HPRD])</f>
        <v>4.9056908009210698</v>
      </c>
      <c r="F15" s="29"/>
      <c r="J15" s="31"/>
      <c r="K15" s="31"/>
      <c r="L15" s="31"/>
      <c r="M15" s="31"/>
      <c r="N15" s="31"/>
      <c r="O15" s="31"/>
      <c r="P15" s="31"/>
      <c r="Q15" s="31"/>
      <c r="R15" s="31"/>
      <c r="S15" s="31"/>
      <c r="U15" s="29" t="s">
        <v>259</v>
      </c>
      <c r="V15" s="31">
        <f>SUMIF([1]!Nurse[State], State10[[#This Row],[State]], [1]!Nurse[MDScensus])</f>
        <v>20205.111111111084</v>
      </c>
      <c r="W15" s="31">
        <f>COUNTIF([1]!Nurse[State], State10[[#This Row],[State]])</f>
        <v>393</v>
      </c>
      <c r="X15" s="30">
        <f>SUMIF([1]!Nurse[State], State10[[#This Row],[State]], [1]!Nurse[Total Nurse Staff Hours])/SUMIF([1]!Nurse[State], State10[[#This Row],[State]], [1]!Nurse[MDScensus])</f>
        <v>3.8035435423380202</v>
      </c>
      <c r="Y15" s="28">
        <f>RANK(State10[[#This Row],[Total Nurse Staff HPRD]], State10[Total Nurse Staff HPRD])</f>
        <v>25</v>
      </c>
      <c r="Z15" s="48" cm="1">
        <f t="array" ref="Z15">SUMPRODUCT(
   ([1]!Nurse[State]=State10[[#This Row],[State]]) *
   ([1]!Nurse[Expected Total Nurse Staff HPRD]) *
   ([1]!Nurse[MDScensus])
 ) /
 SUMIFS([1]!Nurse[MDScensus], [1]!Nurse[State], State10[[#This Row],[State]], [1]!Nurse[Expected Total Nurse Staff HPRD], "&gt;0")</f>
        <v>4.7722388862351757</v>
      </c>
      <c r="AA15" s="47">
        <f>IF(State10[[#This Row],[Expected Total Nurse Staff HPRD]]&lt;&gt;0,
   (State10[[#This Row],[Total Nurse Staff HPRD]] - State10[[#This Row],[Expected Total Nurse Staff HPRD]]) /
   ABS(State10[[#This Row],[Expected Total Nurse Staff HPRD]]),
   "")</f>
        <v>-0.20298550994402551</v>
      </c>
      <c r="AB15" s="47">
        <f>COUNTIFS([1]!Nurse[Total Nurse Staff HPRD], "&gt;=4.1", [1]!Nurse[State], State10[[#This Row],[State]])/(COUNTIF([1]!Nurse[State], State10[[#This Row],[State]]))</f>
        <v>0.2544529262086514</v>
      </c>
      <c r="AC15" s="47">
        <f>COUNTIFS([1]!Nurse[Total Nurse Staff HPRD], "&gt;=3.48", [1]!Nurse[State], State10[[#This Row],[State]])/(COUNTIF([1]!Nurse[State], State10[[#This Row],[State]]))</f>
        <v>0.65139949109414763</v>
      </c>
      <c r="AD15" s="47">
        <f>COUNTIFS([1]!Nurse[Total RN Staff HPRD], "&gt;=0.75", [1]!Nurse[State], State10[[#This Row],[State]])/(COUNTIF([1]!Nurse[State], State10[[#This Row],[State]]))</f>
        <v>0.3944020356234097</v>
      </c>
      <c r="AE15" s="48">
        <f>SUMIF([1]!Nurse[State], State10[[#This Row],[State]], [1]!Nurse[Total RN Hours (w/ Admin, DON)])/SUMIF([1]!Nurse[State], State10[[#This Row],[State]], [1]!Nurse[MDScensus])</f>
        <v>0.72673160256480818</v>
      </c>
      <c r="AF15" s="28">
        <f>RANK(State10[[#This Row],[RN Staff HPRD]], State10[RN Staff HPRD])</f>
        <v>20</v>
      </c>
      <c r="AG15" s="47">
        <f>SUMIF([1]!Nurse[State], State10[[#This Row],[State]], [1]!Nurse[Total Contract Hours])/SUMIF([1]!Nurse[State], State10[[#This Row],[State]], [1]!Nurse[Total Nurse Staff Hours])</f>
        <v>5.4029877914769951E-2</v>
      </c>
      <c r="AH15" s="28">
        <f>RANK(State10[[#This Row],[% Contract]],State10[% Contract])</f>
        <v>30</v>
      </c>
      <c r="AJ15" s="56" t="s">
        <v>213</v>
      </c>
      <c r="AK15" s="31">
        <f>SUM([1]!Nurse[Hrs_MedAide])</f>
        <v>131341.1319999999</v>
      </c>
      <c r="AL15" s="55">
        <f>Category11[[#This Row],[US Total]]/SUM([1]!Nurse[Total Nurse Staff Hours])</f>
        <v>2.8460999554377218E-2</v>
      </c>
      <c r="AM15" s="30">
        <f>Category11[[#This Row],[US Total]]/SUM([1]!Nurse[MDScensus])</f>
        <v>0.10617344574403668</v>
      </c>
    </row>
    <row r="16" spans="2:45" ht="15" customHeight="1" x14ac:dyDescent="0.2">
      <c r="B16" s="54" t="s">
        <v>293</v>
      </c>
      <c r="C16" s="53">
        <f>IF(
   SUMIFS([1]!Nurse[MDScensus], [1]!Nurse[Expected Total Nurse Staff HPRD], "&gt;0") &gt; 0,
   (
     (SUM([1]!Nurse[Total Nurse Staff Hours]) / SUM([1]!Nurse[MDScensus]))
     -
     (
       SUMPRODUCT(
         [1]!Nurse[Expected Total Nurse Staff HPRD],
         [1]!Nurse[MDScensus]
       ) /
       SUMIFS([1]!Nurse[MDScensus], [1]!Nurse[Expected Total Nurse Staff HPRD], "&gt;0")
     )
   )
   /
   ABS(
     SUMPRODUCT(
       [1]!Nurse[Expected Total Nurse Staff HPRD],
       [1]!Nurse[MDScensus]
     ) /
     SUMIFS([1]!Nurse[MDScensus], [1]!Nurse[Expected Total Nurse Staff HPRD], "&gt;0")
   ),
   ""
)</f>
        <v>-0.2493550238632328</v>
      </c>
      <c r="D16" s="52">
        <f>MEDIAN([1]!Nurse[% Deviation From Total Expected Nurse HPRD])</f>
        <v>-0.25496564141019851</v>
      </c>
      <c r="F16" s="29"/>
      <c r="J16" s="31"/>
      <c r="K16" s="31"/>
      <c r="L16" s="31"/>
      <c r="M16" s="31"/>
      <c r="N16" s="31"/>
      <c r="O16" s="31"/>
      <c r="P16" s="31"/>
      <c r="Q16" s="31"/>
      <c r="R16" s="31"/>
      <c r="S16" s="31"/>
      <c r="U16" s="29" t="s">
        <v>258</v>
      </c>
      <c r="V16" s="31">
        <f>SUMIF([1]!Nurse[State], State10[[#This Row],[State]], [1]!Nurse[MDScensus])</f>
        <v>4377.1222222222177</v>
      </c>
      <c r="W16" s="31">
        <f>COUNTIF([1]!Nurse[State], State10[[#This Row],[State]])</f>
        <v>79</v>
      </c>
      <c r="X16" s="30">
        <f>SUMIF([1]!Nurse[State], State10[[#This Row],[State]], [1]!Nurse[Total Nurse Staff Hours])/SUMIF([1]!Nurse[State], State10[[#This Row],[State]], [1]!Nurse[MDScensus])</f>
        <v>3.9392682660601426</v>
      </c>
      <c r="Y16" s="28">
        <f>RANK(State10[[#This Row],[Total Nurse Staff HPRD]], State10[Total Nurse Staff HPRD])</f>
        <v>18</v>
      </c>
      <c r="Z16" s="48" cm="1">
        <f t="array" ref="Z16">SUMPRODUCT(
   ([1]!Nurse[State]=State10[[#This Row],[State]]) *
   ([1]!Nurse[Expected Total Nurse Staff HPRD]) *
   ([1]!Nurse[MDScensus])
 ) /
 SUMIFS([1]!Nurse[MDScensus], [1]!Nurse[State], State10[[#This Row],[State]], [1]!Nurse[Expected Total Nurse Staff HPRD], "&gt;0")</f>
        <v>4.9918860425786207</v>
      </c>
      <c r="AA16" s="47">
        <f>IF(State10[[#This Row],[Expected Total Nurse Staff HPRD]]&lt;&gt;0,
   (State10[[#This Row],[Total Nurse Staff HPRD]] - State10[[#This Row],[Expected Total Nurse Staff HPRD]]) /
   ABS(State10[[#This Row],[Expected Total Nurse Staff HPRD]]),
   "")</f>
        <v>-0.21086574644134612</v>
      </c>
      <c r="AB16" s="47">
        <f>COUNTIFS([1]!Nurse[Total Nurse Staff HPRD], "&gt;=4.1", [1]!Nurse[State], State10[[#This Row],[State]])/(COUNTIF([1]!Nurse[State], State10[[#This Row],[State]]))</f>
        <v>0.31645569620253167</v>
      </c>
      <c r="AC16" s="47">
        <f>COUNTIFS([1]!Nurse[Total Nurse Staff HPRD], "&gt;=3.48", [1]!Nurse[State], State10[[#This Row],[State]])/(COUNTIF([1]!Nurse[State], State10[[#This Row],[State]]))</f>
        <v>0.84810126582278478</v>
      </c>
      <c r="AD16" s="47">
        <f>COUNTIFS([1]!Nurse[Total RN Staff HPRD], "&gt;=0.75", [1]!Nurse[State], State10[[#This Row],[State]])/(COUNTIF([1]!Nurse[State], State10[[#This Row],[State]]))</f>
        <v>0.50632911392405067</v>
      </c>
      <c r="AE16" s="48">
        <f>SUMIF([1]!Nurse[State], State10[[#This Row],[State]], [1]!Nurse[Total RN Hours (w/ Admin, DON)])/SUMIF([1]!Nurse[State], State10[[#This Row],[State]], [1]!Nurse[MDScensus])</f>
        <v>0.77967870823295893</v>
      </c>
      <c r="AF16" s="28">
        <f>RANK(State10[[#This Row],[RN Staff HPRD]], State10[RN Staff HPRD])</f>
        <v>17</v>
      </c>
      <c r="AG16" s="47">
        <f>SUMIF([1]!Nurse[State], State10[[#This Row],[State]], [1]!Nurse[Total Contract Hours])/SUMIF([1]!Nurse[State], State10[[#This Row],[State]], [1]!Nurse[Total Nurse Staff Hours])</f>
        <v>5.5545571703791437E-2</v>
      </c>
      <c r="AH16" s="28">
        <f>RANK(State10[[#This Row],[% Contract]],State10[% Contract])</f>
        <v>28</v>
      </c>
    </row>
    <row r="17" spans="6:42" ht="15" customHeight="1" x14ac:dyDescent="0.2">
      <c r="F17" s="29"/>
      <c r="J17" s="31"/>
      <c r="K17" s="31"/>
      <c r="L17" s="31"/>
      <c r="M17" s="31"/>
      <c r="N17" s="31"/>
      <c r="O17" s="31"/>
      <c r="P17" s="31"/>
      <c r="Q17" s="31"/>
      <c r="R17" s="31"/>
      <c r="S17" s="31"/>
      <c r="U17" s="29" t="s">
        <v>257</v>
      </c>
      <c r="V17" s="31">
        <f>SUMIF([1]!Nurse[State], State10[[#This Row],[State]], [1]!Nurse[MDScensus])</f>
        <v>61759.433333333138</v>
      </c>
      <c r="W17" s="31">
        <f>COUNTIF([1]!Nurse[State], State10[[#This Row],[State]])</f>
        <v>661</v>
      </c>
      <c r="X17" s="30">
        <f>SUMIF([1]!Nurse[State], State10[[#This Row],[State]], [1]!Nurse[Total Nurse Staff Hours])/SUMIF([1]!Nurse[State], State10[[#This Row],[State]], [1]!Nurse[MDScensus])</f>
        <v>3.2471927671328338</v>
      </c>
      <c r="Y17" s="28">
        <f>RANK(State10[[#This Row],[Total Nurse Staff HPRD]], State10[Total Nurse Staff HPRD])</f>
        <v>52</v>
      </c>
      <c r="Z17" s="48" cm="1">
        <f t="array" ref="Z17">SUMPRODUCT(
   ([1]!Nurse[State]=State10[[#This Row],[State]]) *
   ([1]!Nurse[Expected Total Nurse Staff HPRD]) *
   ([1]!Nurse[MDScensus])
 ) /
 SUMIFS([1]!Nurse[MDScensus], [1]!Nurse[State], State10[[#This Row],[State]], [1]!Nurse[Expected Total Nurse Staff HPRD], "&gt;0")</f>
        <v>5.3410691788359195</v>
      </c>
      <c r="AA17" s="47">
        <f>IF(State10[[#This Row],[Expected Total Nurse Staff HPRD]]&lt;&gt;0,
   (State10[[#This Row],[Total Nurse Staff HPRD]] - State10[[#This Row],[Expected Total Nurse Staff HPRD]]) /
   ABS(State10[[#This Row],[Expected Total Nurse Staff HPRD]]),
   "")</f>
        <v>-0.39203319440236944</v>
      </c>
      <c r="AB17" s="47">
        <f>COUNTIFS([1]!Nurse[Total Nurse Staff HPRD], "&gt;=4.1", [1]!Nurse[State], State10[[#This Row],[State]])/(COUNTIF([1]!Nurse[State], State10[[#This Row],[State]]))</f>
        <v>0.17549167927382753</v>
      </c>
      <c r="AC17" s="47">
        <f>COUNTIFS([1]!Nurse[Total Nurse Staff HPRD], "&gt;=3.48", [1]!Nurse[State], State10[[#This Row],[State]])/(COUNTIF([1]!Nurse[State], State10[[#This Row],[State]]))</f>
        <v>0.36913767019667171</v>
      </c>
      <c r="AD17" s="47">
        <f>COUNTIFS([1]!Nurse[Total RN Staff HPRD], "&gt;=0.75", [1]!Nurse[State], State10[[#This Row],[State]])/(COUNTIF([1]!Nurse[State], State10[[#This Row],[State]]))</f>
        <v>0.36913767019667171</v>
      </c>
      <c r="AE17" s="48">
        <f>SUMIF([1]!Nurse[State], State10[[#This Row],[State]], [1]!Nurse[Total RN Hours (w/ Admin, DON)])/SUMIF([1]!Nurse[State], State10[[#This Row],[State]], [1]!Nurse[MDScensus])</f>
        <v>0.65978424528578594</v>
      </c>
      <c r="AF17" s="28">
        <f>RANK(State10[[#This Row],[RN Staff HPRD]], State10[RN Staff HPRD])</f>
        <v>28</v>
      </c>
      <c r="AG17" s="47">
        <f>SUMIF([1]!Nurse[State], State10[[#This Row],[State]], [1]!Nurse[Total Contract Hours])/SUMIF([1]!Nurse[State], State10[[#This Row],[State]], [1]!Nurse[Total Nurse Staff Hours])</f>
        <v>7.6585077352522457E-2</v>
      </c>
      <c r="AH17" s="28">
        <f>RANK(State10[[#This Row],[% Contract]],State10[% Contract])</f>
        <v>18</v>
      </c>
    </row>
    <row r="18" spans="6:42" ht="15" customHeight="1" x14ac:dyDescent="0.2">
      <c r="F18" s="29"/>
      <c r="G18" s="48"/>
      <c r="J18" s="31"/>
      <c r="K18" s="31"/>
      <c r="L18" s="31"/>
      <c r="M18" s="31"/>
      <c r="N18" s="31"/>
      <c r="O18" s="31"/>
      <c r="P18" s="31"/>
      <c r="Q18" s="31"/>
      <c r="R18" s="31"/>
      <c r="S18" s="31"/>
      <c r="U18" s="29" t="s">
        <v>256</v>
      </c>
      <c r="V18" s="31">
        <f>SUMIF([1]!Nurse[State], State10[[#This Row],[State]], [1]!Nurse[MDScensus])</f>
        <v>35882.088888888829</v>
      </c>
      <c r="W18" s="31">
        <f>COUNTIF([1]!Nurse[State], State10[[#This Row],[State]])</f>
        <v>505</v>
      </c>
      <c r="X18" s="30">
        <f>SUMIF([1]!Nurse[State], State10[[#This Row],[State]], [1]!Nurse[Total Nurse Staff Hours])/SUMIF([1]!Nurse[State], State10[[#This Row],[State]], [1]!Nurse[MDScensus])</f>
        <v>3.6054406872137998</v>
      </c>
      <c r="Y18" s="28">
        <f>RANK(State10[[#This Row],[Total Nurse Staff HPRD]], State10[Total Nurse Staff HPRD])</f>
        <v>43</v>
      </c>
      <c r="Z18" s="48" cm="1">
        <f t="array" ref="Z18">SUMPRODUCT(
   ([1]!Nurse[State]=State10[[#This Row],[State]]) *
   ([1]!Nurse[Expected Total Nurse Staff HPRD]) *
   ([1]!Nurse[MDScensus])
 ) /
 SUMIFS([1]!Nurse[MDScensus], [1]!Nurse[State], State10[[#This Row],[State]], [1]!Nurse[Expected Total Nurse Staff HPRD], "&gt;0")</f>
        <v>5.1787233847997065</v>
      </c>
      <c r="AA18" s="47">
        <f>IF(State10[[#This Row],[Expected Total Nurse Staff HPRD]]&lt;&gt;0,
   (State10[[#This Row],[Total Nurse Staff HPRD]] - State10[[#This Row],[Expected Total Nurse Staff HPRD]]) /
   ABS(State10[[#This Row],[Expected Total Nurse Staff HPRD]]),
   "")</f>
        <v>-0.30379739960696034</v>
      </c>
      <c r="AB18" s="47">
        <f>COUNTIFS([1]!Nurse[Total Nurse Staff HPRD], "&gt;=4.1", [1]!Nurse[State], State10[[#This Row],[State]])/(COUNTIF([1]!Nurse[State], State10[[#This Row],[State]]))</f>
        <v>0.17029702970297031</v>
      </c>
      <c r="AC18" s="47">
        <f>COUNTIFS([1]!Nurse[Total Nurse Staff HPRD], "&gt;=3.48", [1]!Nurse[State], State10[[#This Row],[State]])/(COUNTIF([1]!Nurse[State], State10[[#This Row],[State]]))</f>
        <v>0.53465346534653468</v>
      </c>
      <c r="AD18" s="47">
        <f>COUNTIFS([1]!Nurse[Total RN Staff HPRD], "&gt;=0.75", [1]!Nurse[State], State10[[#This Row],[State]])/(COUNTIF([1]!Nurse[State], State10[[#This Row],[State]]))</f>
        <v>0.28118811881188122</v>
      </c>
      <c r="AE18" s="48">
        <f>SUMIF([1]!Nurse[State], State10[[#This Row],[State]], [1]!Nurse[Total RN Hours (w/ Admin, DON)])/SUMIF([1]!Nurse[State], State10[[#This Row],[State]], [1]!Nurse[MDScensus])</f>
        <v>0.60177517535830327</v>
      </c>
      <c r="AF18" s="28">
        <f>RANK(State10[[#This Row],[RN Staff HPRD]], State10[RN Staff HPRD])</f>
        <v>38</v>
      </c>
      <c r="AG18" s="47">
        <f>SUMIF([1]!Nurse[State], State10[[#This Row],[State]], [1]!Nurse[Total Contract Hours])/SUMIF([1]!Nurse[State], State10[[#This Row],[State]], [1]!Nurse[Total Nurse Staff Hours])</f>
        <v>3.4841800815227933E-2</v>
      </c>
      <c r="AH18" s="28">
        <f>RANK(State10[[#This Row],[% Contract]],State10[% Contract])</f>
        <v>42</v>
      </c>
      <c r="AJ18" s="17" t="s">
        <v>292</v>
      </c>
      <c r="AK18" s="17" t="s">
        <v>291</v>
      </c>
      <c r="AL18" s="17" t="s">
        <v>290</v>
      </c>
      <c r="AM18" s="17" t="s">
        <v>289</v>
      </c>
    </row>
    <row r="19" spans="6:42" ht="15" customHeight="1" x14ac:dyDescent="0.2">
      <c r="F19" s="29"/>
      <c r="U19" s="29" t="s">
        <v>255</v>
      </c>
      <c r="V19" s="31">
        <f>SUMIF([1]!Nurse[State], State10[[#This Row],[State]], [1]!Nurse[MDScensus])</f>
        <v>14891.088888888873</v>
      </c>
      <c r="W19" s="31">
        <f>COUNTIF([1]!Nurse[State], State10[[#This Row],[State]])</f>
        <v>294</v>
      </c>
      <c r="X19" s="30">
        <f>SUMIF([1]!Nurse[State], State10[[#This Row],[State]], [1]!Nurse[Total Nurse Staff Hours])/SUMIF([1]!Nurse[State], State10[[#This Row],[State]], [1]!Nurse[MDScensus])</f>
        <v>3.9313767144854661</v>
      </c>
      <c r="Y19" s="28">
        <f>RANK(State10[[#This Row],[Total Nurse Staff HPRD]], State10[Total Nurse Staff HPRD])</f>
        <v>19</v>
      </c>
      <c r="Z19" s="48" cm="1">
        <f t="array" ref="Z19">SUMPRODUCT(
   ([1]!Nurse[State]=State10[[#This Row],[State]]) *
   ([1]!Nurse[Expected Total Nurse Staff HPRD]) *
   ([1]!Nurse[MDScensus])
 ) /
 SUMIFS([1]!Nurse[MDScensus], [1]!Nurse[State], State10[[#This Row],[State]], [1]!Nurse[Expected Total Nurse Staff HPRD], "&gt;0")</f>
        <v>4.8053660295669873</v>
      </c>
      <c r="AA19" s="47">
        <f>IF(State10[[#This Row],[Expected Total Nurse Staff HPRD]]&lt;&gt;0,
   (State10[[#This Row],[Total Nurse Staff HPRD]] - State10[[#This Row],[Expected Total Nurse Staff HPRD]]) /
   ABS(State10[[#This Row],[Expected Total Nurse Staff HPRD]]),
   "")</f>
        <v>-0.1818777819845446</v>
      </c>
      <c r="AB19" s="47">
        <f>COUNTIFS([1]!Nurse[Total Nurse Staff HPRD], "&gt;=4.1", [1]!Nurse[State], State10[[#This Row],[State]])/(COUNTIF([1]!Nurse[State], State10[[#This Row],[State]]))</f>
        <v>0.40476190476190477</v>
      </c>
      <c r="AC19" s="47">
        <f>COUNTIFS([1]!Nurse[Total Nurse Staff HPRD], "&gt;=3.48", [1]!Nurse[State], State10[[#This Row],[State]])/(COUNTIF([1]!Nurse[State], State10[[#This Row],[State]]))</f>
        <v>0.74489795918367352</v>
      </c>
      <c r="AD19" s="47">
        <f>COUNTIFS([1]!Nurse[Total RN Staff HPRD], "&gt;=0.75", [1]!Nurse[State], State10[[#This Row],[State]])/(COUNTIF([1]!Nurse[State], State10[[#This Row],[State]]))</f>
        <v>0.35714285714285715</v>
      </c>
      <c r="AE19" s="48">
        <f>SUMIF([1]!Nurse[State], State10[[#This Row],[State]], [1]!Nurse[Total RN Hours (w/ Admin, DON)])/SUMIF([1]!Nurse[State], State10[[#This Row],[State]], [1]!Nurse[MDScensus])</f>
        <v>0.65857937409248379</v>
      </c>
      <c r="AF19" s="28">
        <f>RANK(State10[[#This Row],[RN Staff HPRD]], State10[RN Staff HPRD])</f>
        <v>30</v>
      </c>
      <c r="AG19" s="47">
        <f>SUMIF([1]!Nurse[State], State10[[#This Row],[State]], [1]!Nurse[Total Contract Hours])/SUMIF([1]!Nurse[State], State10[[#This Row],[State]], [1]!Nurse[Total Nurse Staff Hours])</f>
        <v>6.488930950484488E-2</v>
      </c>
      <c r="AH19" s="28">
        <f>RANK(State10[[#This Row],[% Contract]],State10[% Contract])</f>
        <v>23</v>
      </c>
      <c r="AJ19" s="17" t="s">
        <v>288</v>
      </c>
      <c r="AK19" s="47">
        <f>ContractSummary12[[#This Row],[Contract Hours2]]/ContractSummary12[[#This Row],[Total Hours]]</f>
        <v>7.6034856061283101E-2</v>
      </c>
      <c r="AL19" s="31">
        <f>SUM([1]!Nurse[Hrs_RN_ctr])</f>
        <v>40205.562666666592</v>
      </c>
      <c r="AM19" s="31">
        <f>SUM([1]!Nurse[Hrs_RN])</f>
        <v>528778.04666666873</v>
      </c>
    </row>
    <row r="20" spans="6:42" ht="15" customHeight="1" x14ac:dyDescent="0.2">
      <c r="U20" s="29" t="s">
        <v>254</v>
      </c>
      <c r="V20" s="31">
        <f>SUMIF([1]!Nurse[State], State10[[#This Row],[State]], [1]!Nurse[MDScensus])</f>
        <v>21254.655555555502</v>
      </c>
      <c r="W20" s="31">
        <f>COUNTIF([1]!Nurse[State], State10[[#This Row],[State]])</f>
        <v>264</v>
      </c>
      <c r="X20" s="30">
        <f>SUMIF([1]!Nurse[State], State10[[#This Row],[State]], [1]!Nurse[Total Nurse Staff Hours])/SUMIF([1]!Nurse[State], State10[[#This Row],[State]], [1]!Nurse[MDScensus])</f>
        <v>3.8423052622719576</v>
      </c>
      <c r="Y20" s="28">
        <f>RANK(State10[[#This Row],[Total Nurse Staff HPRD]], State10[Total Nurse Staff HPRD])</f>
        <v>24</v>
      </c>
      <c r="Z20" s="48" cm="1">
        <f t="array" ref="Z20">SUMPRODUCT(
   ([1]!Nurse[State]=State10[[#This Row],[State]]) *
   ([1]!Nurse[Expected Total Nurse Staff HPRD]) *
   ([1]!Nurse[MDScensus])
 ) /
 SUMIFS([1]!Nurse[MDScensus], [1]!Nurse[State], State10[[#This Row],[State]], [1]!Nurse[Expected Total Nurse Staff HPRD], "&gt;0")</f>
        <v>5.1248653585766322</v>
      </c>
      <c r="AA20" s="47">
        <f>IF(State10[[#This Row],[Expected Total Nurse Staff HPRD]]&lt;&gt;0,
   (State10[[#This Row],[Total Nurse Staff HPRD]] - State10[[#This Row],[Expected Total Nurse Staff HPRD]]) /
   ABS(State10[[#This Row],[Expected Total Nurse Staff HPRD]]),
   "")</f>
        <v>-0.25026220331003773</v>
      </c>
      <c r="AB20" s="47">
        <f>COUNTIFS([1]!Nurse[Total Nurse Staff HPRD], "&gt;=4.1", [1]!Nurse[State], State10[[#This Row],[State]])/(COUNTIF([1]!Nurse[State], State10[[#This Row],[State]]))</f>
        <v>0.23863636363636365</v>
      </c>
      <c r="AC20" s="47">
        <f>COUNTIFS([1]!Nurse[Total Nurse Staff HPRD], "&gt;=3.48", [1]!Nurse[State], State10[[#This Row],[State]])/(COUNTIF([1]!Nurse[State], State10[[#This Row],[State]]))</f>
        <v>0.73863636363636365</v>
      </c>
      <c r="AD20" s="47">
        <f>COUNTIFS([1]!Nurse[Total RN Staff HPRD], "&gt;=0.75", [1]!Nurse[State], State10[[#This Row],[State]])/(COUNTIF([1]!Nurse[State], State10[[#This Row],[State]]))</f>
        <v>0.34469696969696972</v>
      </c>
      <c r="AE20" s="48">
        <f>SUMIF([1]!Nurse[State], State10[[#This Row],[State]], [1]!Nurse[Total RN Hours (w/ Admin, DON)])/SUMIF([1]!Nurse[State], State10[[#This Row],[State]], [1]!Nurse[MDScensus])</f>
        <v>0.69113393196471018</v>
      </c>
      <c r="AF20" s="28">
        <f>RANK(State10[[#This Row],[RN Staff HPRD]], State10[RN Staff HPRD])</f>
        <v>24</v>
      </c>
      <c r="AG20" s="47">
        <f>SUMIF([1]!Nurse[State], State10[[#This Row],[State]], [1]!Nurse[Total Contract Hours])/SUMIF([1]!Nurse[State], State10[[#This Row],[State]], [1]!Nurse[Total Nurse Staff Hours])</f>
        <v>3.9153769558960307E-2</v>
      </c>
      <c r="AH20" s="28">
        <f>RANK(State10[[#This Row],[% Contract]],State10[% Contract])</f>
        <v>39</v>
      </c>
      <c r="AJ20" s="17" t="s">
        <v>287</v>
      </c>
      <c r="AK20" s="47">
        <f>ContractSummary12[[#This Row],[Contract Hours2]]/ContractSummary12[[#This Row],[Total Hours]]</f>
        <v>2.9575422733992388E-2</v>
      </c>
      <c r="AL20" s="31">
        <f>SUM([1]!Nurse[Hrs_RNadmin_ctr])</f>
        <v>4565.4686666666585</v>
      </c>
      <c r="AM20" s="31">
        <f>SUM([1]!Nurse[Hrs_RNadmin])</f>
        <v>154366.97922222278</v>
      </c>
    </row>
    <row r="21" spans="6:42" ht="15" customHeight="1" x14ac:dyDescent="0.2">
      <c r="U21" s="29" t="s">
        <v>253</v>
      </c>
      <c r="V21" s="31">
        <f>SUMIF([1]!Nurse[State], State10[[#This Row],[State]], [1]!Nurse[MDScensus])</f>
        <v>23353.122222222173</v>
      </c>
      <c r="W21" s="31">
        <f>COUNTIF([1]!Nurse[State], State10[[#This Row],[State]])</f>
        <v>257</v>
      </c>
      <c r="X21" s="30">
        <f>SUMIF([1]!Nurse[State], State10[[#This Row],[State]], [1]!Nurse[Total Nurse Staff Hours])/SUMIF([1]!Nurse[State], State10[[#This Row],[State]], [1]!Nurse[MDScensus])</f>
        <v>3.6302170349812894</v>
      </c>
      <c r="Y21" s="28">
        <f>RANK(State10[[#This Row],[Total Nurse Staff HPRD]], State10[Total Nurse Staff HPRD])</f>
        <v>40</v>
      </c>
      <c r="Z21" s="48" cm="1">
        <f t="array" ref="Z21">SUMPRODUCT(
   ([1]!Nurse[State]=State10[[#This Row],[State]]) *
   ([1]!Nurse[Expected Total Nurse Staff HPRD]) *
   ([1]!Nurse[MDScensus])
 ) /
 SUMIFS([1]!Nurse[MDScensus], [1]!Nurse[State], State10[[#This Row],[State]], [1]!Nurse[Expected Total Nurse Staff HPRD], "&gt;0")</f>
        <v>4.792873682802</v>
      </c>
      <c r="AA21" s="47">
        <f>IF(State10[[#This Row],[Expected Total Nurse Staff HPRD]]&lt;&gt;0,
   (State10[[#This Row],[Total Nurse Staff HPRD]] - State10[[#This Row],[Expected Total Nurse Staff HPRD]]) /
   ABS(State10[[#This Row],[Expected Total Nurse Staff HPRD]]),
   "")</f>
        <v>-0.24258028163617293</v>
      </c>
      <c r="AB21" s="47">
        <f>COUNTIFS([1]!Nurse[Total Nurse Staff HPRD], "&gt;=4.1", [1]!Nurse[State], State10[[#This Row],[State]])/(COUNTIF([1]!Nurse[State], State10[[#This Row],[State]]))</f>
        <v>0.17509727626459143</v>
      </c>
      <c r="AC21" s="47">
        <f>COUNTIFS([1]!Nurse[Total Nurse Staff HPRD], "&gt;=3.48", [1]!Nurse[State], State10[[#This Row],[State]])/(COUNTIF([1]!Nurse[State], State10[[#This Row],[State]]))</f>
        <v>0.66147859922178986</v>
      </c>
      <c r="AD21" s="47">
        <f>COUNTIFS([1]!Nurse[Total RN Staff HPRD], "&gt;=0.75", [1]!Nurse[State], State10[[#This Row],[State]])/(COUNTIF([1]!Nurse[State], State10[[#This Row],[State]]))</f>
        <v>3.1128404669260701E-2</v>
      </c>
      <c r="AE21" s="48">
        <f>SUMIF([1]!Nurse[State], State10[[#This Row],[State]], [1]!Nurse[Total RN Hours (w/ Admin, DON)])/SUMIF([1]!Nurse[State], State10[[#This Row],[State]], [1]!Nurse[MDScensus])</f>
        <v>0.25304280988361783</v>
      </c>
      <c r="AF21" s="28">
        <f>RANK(State10[[#This Row],[RN Staff HPRD]], State10[RN Staff HPRD])</f>
        <v>52</v>
      </c>
      <c r="AG21" s="47">
        <f>SUMIF([1]!Nurse[State], State10[[#This Row],[State]], [1]!Nurse[Total Contract Hours])/SUMIF([1]!Nurse[State], State10[[#This Row],[State]], [1]!Nurse[Total Nurse Staff Hours])</f>
        <v>4.2970973334522683E-2</v>
      </c>
      <c r="AH21" s="28">
        <f>RANK(State10[[#This Row],[% Contract]],State10[% Contract])</f>
        <v>38</v>
      </c>
      <c r="AJ21" s="17" t="s">
        <v>286</v>
      </c>
      <c r="AK21" s="47">
        <f>ContractSummary12[[#This Row],[Contract Hours2]]/ContractSummary12[[#This Row],[Total Hours]]</f>
        <v>1.6189877138858447E-2</v>
      </c>
      <c r="AL21" s="31">
        <f>SUM([1]!Nurse[Hrs_RNDON_ctr])</f>
        <v>1232.0439999999974</v>
      </c>
      <c r="AM21" s="31">
        <f>SUM([1]!Nurse[Hrs_RNDON])</f>
        <v>76099.650999999445</v>
      </c>
    </row>
    <row r="22" spans="6:42" ht="15" customHeight="1" x14ac:dyDescent="0.2">
      <c r="U22" s="29" t="s">
        <v>252</v>
      </c>
      <c r="V22" s="31">
        <f>SUMIF([1]!Nurse[State], State10[[#This Row],[State]], [1]!Nurse[MDScensus])</f>
        <v>32632.69999999991</v>
      </c>
      <c r="W22" s="31">
        <f>COUNTIF([1]!Nurse[State], State10[[#This Row],[State]])</f>
        <v>332</v>
      </c>
      <c r="X22" s="30">
        <f>SUMIF([1]!Nurse[State], State10[[#This Row],[State]], [1]!Nurse[Total Nurse Staff Hours])/SUMIF([1]!Nurse[State], State10[[#This Row],[State]], [1]!Nurse[MDScensus])</f>
        <v>3.792589791494084</v>
      </c>
      <c r="Y22" s="28">
        <f>RANK(State10[[#This Row],[Total Nurse Staff HPRD]], State10[Total Nurse Staff HPRD])</f>
        <v>27</v>
      </c>
      <c r="Z22" s="48" cm="1">
        <f t="array" ref="Z22">SUMPRODUCT(
   ([1]!Nurse[State]=State10[[#This Row],[State]]) *
   ([1]!Nurse[Expected Total Nurse Staff HPRD]) *
   ([1]!Nurse[MDScensus])
 ) /
 SUMIFS([1]!Nurse[MDScensus], [1]!Nurse[State], State10[[#This Row],[State]], [1]!Nurse[Expected Total Nurse Staff HPRD], "&gt;0")</f>
        <v>4.9815980107087912</v>
      </c>
      <c r="AA22" s="47">
        <f>IF(State10[[#This Row],[Expected Total Nurse Staff HPRD]]&lt;&gt;0,
   (State10[[#This Row],[Total Nurse Staff HPRD]] - State10[[#This Row],[Expected Total Nurse Staff HPRD]]) /
   ABS(State10[[#This Row],[Expected Total Nurse Staff HPRD]]),
   "")</f>
        <v>-0.23868008150371267</v>
      </c>
      <c r="AB22" s="47">
        <f>COUNTIFS([1]!Nurse[Total Nurse Staff HPRD], "&gt;=4.1", [1]!Nurse[State], State10[[#This Row],[State]])/(COUNTIF([1]!Nurse[State], State10[[#This Row],[State]]))</f>
        <v>0.22289156626506024</v>
      </c>
      <c r="AC22" s="47">
        <f>COUNTIFS([1]!Nurse[Total Nurse Staff HPRD], "&gt;=3.48", [1]!Nurse[State], State10[[#This Row],[State]])/(COUNTIF([1]!Nurse[State], State10[[#This Row],[State]]))</f>
        <v>0.74397590361445787</v>
      </c>
      <c r="AD22" s="47">
        <f>COUNTIFS([1]!Nurse[Total RN Staff HPRD], "&gt;=0.75", [1]!Nurse[State], State10[[#This Row],[State]])/(COUNTIF([1]!Nurse[State], State10[[#This Row],[State]]))</f>
        <v>0.25602409638554219</v>
      </c>
      <c r="AE22" s="48">
        <f>SUMIF([1]!Nurse[State], State10[[#This Row],[State]], [1]!Nurse[Total RN Hours (w/ Admin, DON)])/SUMIF([1]!Nurse[State], State10[[#This Row],[State]], [1]!Nurse[MDScensus])</f>
        <v>0.6139023705941864</v>
      </c>
      <c r="AF22" s="28">
        <f>RANK(State10[[#This Row],[RN Staff HPRD]], State10[RN Staff HPRD])</f>
        <v>35</v>
      </c>
      <c r="AG22" s="47">
        <f>SUMIF([1]!Nurse[State], State10[[#This Row],[State]], [1]!Nurse[Total Contract Hours])/SUMIF([1]!Nurse[State], State10[[#This Row],[State]], [1]!Nurse[Total Nurse Staff Hours])</f>
        <v>6.5798022319468602E-2</v>
      </c>
      <c r="AH22" s="28">
        <f>RANK(State10[[#This Row],[% Contract]],State10[% Contract])</f>
        <v>22</v>
      </c>
      <c r="AJ22" s="17" t="s">
        <v>285</v>
      </c>
      <c r="AK22" s="47">
        <f>ContractSummary12[[#This Row],[Contract Hours2]]/ContractSummary12[[#This Row],[Total Hours]]</f>
        <v>8.1893602631237558E-2</v>
      </c>
      <c r="AL22" s="31">
        <f>SUM([1]!Nurse[Hrs_LPN_ctr])</f>
        <v>79585.51077777789</v>
      </c>
      <c r="AM22" s="31">
        <f>SUM([1]!Nurse[Hrs_LPN])</f>
        <v>971815.96877777029</v>
      </c>
    </row>
    <row r="23" spans="6:42" ht="15" customHeight="1" x14ac:dyDescent="0.2">
      <c r="U23" s="29" t="s">
        <v>251</v>
      </c>
      <c r="V23" s="31">
        <f>SUMIF([1]!Nurse[State], State10[[#This Row],[State]], [1]!Nurse[MDScensus])</f>
        <v>23019.477777777709</v>
      </c>
      <c r="W23" s="31">
        <f>COUNTIF([1]!Nurse[State], State10[[#This Row],[State]])</f>
        <v>220</v>
      </c>
      <c r="X23" s="30">
        <f>SUMIF([1]!Nurse[State], State10[[#This Row],[State]], [1]!Nurse[Total Nurse Staff Hours])/SUMIF([1]!Nurse[State], State10[[#This Row],[State]], [1]!Nurse[MDScensus])</f>
        <v>3.7159287424707514</v>
      </c>
      <c r="Y23" s="28">
        <f>RANK(State10[[#This Row],[Total Nurse Staff HPRD]], State10[Total Nurse Staff HPRD])</f>
        <v>32</v>
      </c>
      <c r="Z23" s="48" cm="1">
        <f t="array" ref="Z23">SUMPRODUCT(
   ([1]!Nurse[State]=State10[[#This Row],[State]]) *
   ([1]!Nurse[Expected Total Nurse Staff HPRD]) *
   ([1]!Nurse[MDScensus])
 ) /
 SUMIFS([1]!Nurse[MDScensus], [1]!Nurse[State], State10[[#This Row],[State]], [1]!Nurse[Expected Total Nurse Staff HPRD], "&gt;0")</f>
        <v>5.0649901645133886</v>
      </c>
      <c r="AA23" s="47">
        <f>IF(State10[[#This Row],[Expected Total Nurse Staff HPRD]]&lt;&gt;0,
   (State10[[#This Row],[Total Nurse Staff HPRD]] - State10[[#This Row],[Expected Total Nurse Staff HPRD]]) /
   ABS(State10[[#This Row],[Expected Total Nurse Staff HPRD]]),
   "")</f>
        <v>-0.26635025503001075</v>
      </c>
      <c r="AB23" s="47">
        <f>COUNTIFS([1]!Nurse[Total Nurse Staff HPRD], "&gt;=4.1", [1]!Nurse[State], State10[[#This Row],[State]])/(COUNTIF([1]!Nurse[State], State10[[#This Row],[State]]))</f>
        <v>0.25454545454545452</v>
      </c>
      <c r="AC23" s="47">
        <f>COUNTIFS([1]!Nurse[Total Nurse Staff HPRD], "&gt;=3.48", [1]!Nurse[State], State10[[#This Row],[State]])/(COUNTIF([1]!Nurse[State], State10[[#This Row],[State]]))</f>
        <v>0.63636363636363635</v>
      </c>
      <c r="AD23" s="47">
        <f>COUNTIFS([1]!Nurse[Total RN Staff HPRD], "&gt;=0.75", [1]!Nurse[State], State10[[#This Row],[State]])/(COUNTIF([1]!Nurse[State], State10[[#This Row],[State]]))</f>
        <v>0.43636363636363634</v>
      </c>
      <c r="AE23" s="48">
        <f>SUMIF([1]!Nurse[State], State10[[#This Row],[State]], [1]!Nurse[Total RN Hours (w/ Admin, DON)])/SUMIF([1]!Nurse[State], State10[[#This Row],[State]], [1]!Nurse[MDScensus])</f>
        <v>0.737422839498725</v>
      </c>
      <c r="AF23" s="28">
        <f>RANK(State10[[#This Row],[RN Staff HPRD]], State10[RN Staff HPRD])</f>
        <v>19</v>
      </c>
      <c r="AG23" s="47">
        <f>SUMIF([1]!Nurse[State], State10[[#This Row],[State]], [1]!Nurse[Total Contract Hours])/SUMIF([1]!Nurse[State], State10[[#This Row],[State]], [1]!Nurse[Total Nurse Staff Hours])</f>
        <v>9.4383052839326104E-2</v>
      </c>
      <c r="AH23" s="28">
        <f>RANK(State10[[#This Row],[% Contract]],State10[% Contract])</f>
        <v>11</v>
      </c>
      <c r="AJ23" s="17" t="s">
        <v>284</v>
      </c>
      <c r="AK23" s="47">
        <f>ContractSummary12[[#This Row],[Contract Hours2]]/ContractSummary12[[#This Row],[Total Hours]]</f>
        <v>8.2866706569465955E-3</v>
      </c>
      <c r="AL23" s="31">
        <f>SUM([1]!Nurse[Hrs_LPNadmin_ctr])</f>
        <v>834.30066666666391</v>
      </c>
      <c r="AM23" s="31">
        <f>SUM([1]!Nurse[Hrs_LPNadmin])</f>
        <v>100679.8388888886</v>
      </c>
    </row>
    <row r="24" spans="6:42" ht="15" customHeight="1" x14ac:dyDescent="0.2">
      <c r="U24" s="29" t="s">
        <v>250</v>
      </c>
      <c r="V24" s="31">
        <f>SUMIF([1]!Nurse[State], State10[[#This Row],[State]], [1]!Nurse[MDScensus])</f>
        <v>4996.8999999999933</v>
      </c>
      <c r="W24" s="31">
        <f>COUNTIF([1]!Nurse[State], State10[[#This Row],[State]])</f>
        <v>77</v>
      </c>
      <c r="X24" s="30">
        <f>SUMIF([1]!Nurse[State], State10[[#This Row],[State]], [1]!Nurse[Total Nurse Staff Hours])/SUMIF([1]!Nurse[State], State10[[#This Row],[State]], [1]!Nurse[MDScensus])</f>
        <v>4.3562696427340493</v>
      </c>
      <c r="Y24" s="28">
        <f>RANK(State10[[#This Row],[Total Nurse Staff HPRD]], State10[Total Nurse Staff HPRD])</f>
        <v>5</v>
      </c>
      <c r="Z24" s="48" cm="1">
        <f t="array" ref="Z24">SUMPRODUCT(
   ([1]!Nurse[State]=State10[[#This Row],[State]]) *
   ([1]!Nurse[Expected Total Nurse Staff HPRD]) *
   ([1]!Nurse[MDScensus])
 ) /
 SUMIFS([1]!Nurse[MDScensus], [1]!Nurse[State], State10[[#This Row],[State]], [1]!Nurse[Expected Total Nurse Staff HPRD], "&gt;0")</f>
        <v>4.9059474984110159</v>
      </c>
      <c r="AA24" s="47">
        <f>IF(State10[[#This Row],[Expected Total Nurse Staff HPRD]]&lt;&gt;0,
   (State10[[#This Row],[Total Nurse Staff HPRD]] - State10[[#This Row],[Expected Total Nurse Staff HPRD]]) /
   ABS(State10[[#This Row],[Expected Total Nurse Staff HPRD]]),
   "")</f>
        <v>-0.11204315901362609</v>
      </c>
      <c r="AB24" s="47">
        <f>COUNTIFS([1]!Nurse[Total Nurse Staff HPRD], "&gt;=4.1", [1]!Nurse[State], State10[[#This Row],[State]])/(COUNTIF([1]!Nurse[State], State10[[#This Row],[State]]))</f>
        <v>0.62337662337662336</v>
      </c>
      <c r="AC24" s="47">
        <f>COUNTIFS([1]!Nurse[Total Nurse Staff HPRD], "&gt;=3.48", [1]!Nurse[State], State10[[#This Row],[State]])/(COUNTIF([1]!Nurse[State], State10[[#This Row],[State]]))</f>
        <v>0.93506493506493504</v>
      </c>
      <c r="AD24" s="47">
        <f>COUNTIFS([1]!Nurse[Total RN Staff HPRD], "&gt;=0.75", [1]!Nurse[State], State10[[#This Row],[State]])/(COUNTIF([1]!Nurse[State], State10[[#This Row],[State]]))</f>
        <v>0.75324675324675328</v>
      </c>
      <c r="AE24" s="48">
        <f>SUMIF([1]!Nurse[State], State10[[#This Row],[State]], [1]!Nurse[Total RN Hours (w/ Admin, DON)])/SUMIF([1]!Nurse[State], State10[[#This Row],[State]], [1]!Nurse[MDScensus])</f>
        <v>1.0268110895421829</v>
      </c>
      <c r="AF24" s="28">
        <f>RANK(State10[[#This Row],[RN Staff HPRD]], State10[RN Staff HPRD])</f>
        <v>5</v>
      </c>
      <c r="AG24" s="47">
        <f>SUMIF([1]!Nurse[State], State10[[#This Row],[State]], [1]!Nurse[Total Contract Hours])/SUMIF([1]!Nurse[State], State10[[#This Row],[State]], [1]!Nurse[Total Nurse Staff Hours])</f>
        <v>0.113378559813871</v>
      </c>
      <c r="AH24" s="28">
        <f>RANK(State10[[#This Row],[% Contract]],State10[% Contract])</f>
        <v>9</v>
      </c>
      <c r="AJ24" s="17" t="s">
        <v>283</v>
      </c>
      <c r="AK24" s="47">
        <f>ContractSummary12[[#This Row],[Contract Hours2]]/ContractSummary12[[#This Row],[Total Hours]]</f>
        <v>6.0049232041460184E-2</v>
      </c>
      <c r="AL24" s="31">
        <f>SUM([1]!Nurse[Hrs_CNA_ctr])</f>
        <v>156127.21588888852</v>
      </c>
      <c r="AM24" s="31">
        <f>SUM([1]!Nurse[Hrs_CNA])</f>
        <v>2599986.8871111055</v>
      </c>
    </row>
    <row r="25" spans="6:42" ht="15" customHeight="1" x14ac:dyDescent="0.2">
      <c r="U25" s="29" t="s">
        <v>249</v>
      </c>
      <c r="V25" s="31">
        <f>SUMIF([1]!Nurse[State], State10[[#This Row],[State]], [1]!Nurse[MDScensus])</f>
        <v>35599.355555555478</v>
      </c>
      <c r="W25" s="31">
        <f>COUNTIF([1]!Nurse[State], State10[[#This Row],[State]])</f>
        <v>420</v>
      </c>
      <c r="X25" s="30">
        <f>SUMIF([1]!Nurse[State], State10[[#This Row],[State]], [1]!Nurse[Total Nurse Staff Hours])/SUMIF([1]!Nurse[State], State10[[#This Row],[State]], [1]!Nurse[MDScensus])</f>
        <v>3.8946043623760991</v>
      </c>
      <c r="Y25" s="28">
        <f>RANK(State10[[#This Row],[Total Nurse Staff HPRD]], State10[Total Nurse Staff HPRD])</f>
        <v>20</v>
      </c>
      <c r="Z25" s="48" cm="1">
        <f t="array" ref="Z25">SUMPRODUCT(
   ([1]!Nurse[State]=State10[[#This Row],[State]]) *
   ([1]!Nurse[Expected Total Nurse Staff HPRD]) *
   ([1]!Nurse[MDScensus])
 ) /
 SUMIFS([1]!Nurse[MDScensus], [1]!Nurse[State], State10[[#This Row],[State]], [1]!Nurse[Expected Total Nurse Staff HPRD], "&gt;0")</f>
        <v>4.8636647322365194</v>
      </c>
      <c r="AA25" s="47">
        <f>IF(State10[[#This Row],[Expected Total Nurse Staff HPRD]]&lt;&gt;0,
   (State10[[#This Row],[Total Nurse Staff HPRD]] - State10[[#This Row],[Expected Total Nurse Staff HPRD]]) /
   ABS(State10[[#This Row],[Expected Total Nurse Staff HPRD]]),
   "")</f>
        <v>-0.19924489519959268</v>
      </c>
      <c r="AB25" s="47">
        <f>COUNTIFS([1]!Nurse[Total Nurse Staff HPRD], "&gt;=4.1", [1]!Nurse[State], State10[[#This Row],[State]])/(COUNTIF([1]!Nurse[State], State10[[#This Row],[State]]))</f>
        <v>0.29285714285714287</v>
      </c>
      <c r="AC25" s="47">
        <f>COUNTIFS([1]!Nurse[Total Nurse Staff HPRD], "&gt;=3.48", [1]!Nurse[State], State10[[#This Row],[State]])/(COUNTIF([1]!Nurse[State], State10[[#This Row],[State]]))</f>
        <v>0.74047619047619051</v>
      </c>
      <c r="AD25" s="47">
        <f>COUNTIFS([1]!Nurse[Total RN Staff HPRD], "&gt;=0.75", [1]!Nurse[State], State10[[#This Row],[State]])/(COUNTIF([1]!Nurse[State], State10[[#This Row],[State]]))</f>
        <v>0.45</v>
      </c>
      <c r="AE25" s="48">
        <f>SUMIF([1]!Nurse[State], State10[[#This Row],[State]], [1]!Nurse[Total RN Hours (w/ Admin, DON)])/SUMIF([1]!Nurse[State], State10[[#This Row],[State]], [1]!Nurse[MDScensus])</f>
        <v>0.6884286326032123</v>
      </c>
      <c r="AF25" s="28">
        <f>RANK(State10[[#This Row],[RN Staff HPRD]], State10[RN Staff HPRD])</f>
        <v>25</v>
      </c>
      <c r="AG25" s="47">
        <f>SUMIF([1]!Nurse[State], State10[[#This Row],[State]], [1]!Nurse[Total Contract Hours])/SUMIF([1]!Nurse[State], State10[[#This Row],[State]], [1]!Nurse[Total Nurse Staff Hours])</f>
        <v>2.8848855174107717E-2</v>
      </c>
      <c r="AH25" s="28">
        <f>RANK(State10[[#This Row],[% Contract]],State10[% Contract])</f>
        <v>46</v>
      </c>
      <c r="AJ25" s="17" t="s">
        <v>282</v>
      </c>
      <c r="AK25" s="47">
        <f>ContractSummary12[[#This Row],[Contract Hours2]]/ContractSummary12[[#This Row],[Total Hours]]</f>
        <v>8.2272140782812652E-3</v>
      </c>
      <c r="AL25" s="31">
        <f>SUM([1]!Nurse[Hrs_NAtrn_ctr])</f>
        <v>425.40699999999936</v>
      </c>
      <c r="AM25" s="31">
        <f>SUM([1]!Nurse[Hrs_NAtrn])</f>
        <v>51707.296777777599</v>
      </c>
    </row>
    <row r="26" spans="6:42" ht="15" customHeight="1" x14ac:dyDescent="0.2">
      <c r="U26" s="29" t="s">
        <v>248</v>
      </c>
      <c r="V26" s="31">
        <f>SUMIF([1]!Nurse[State], State10[[#This Row],[State]], [1]!Nurse[MDScensus])</f>
        <v>20028.177777777761</v>
      </c>
      <c r="W26" s="31">
        <f>COUNTIF([1]!Nurse[State], State10[[#This Row],[State]])</f>
        <v>337</v>
      </c>
      <c r="X26" s="30">
        <f>SUMIF([1]!Nurse[State], State10[[#This Row],[State]], [1]!Nurse[Total Nurse Staff Hours])/SUMIF([1]!Nurse[State], State10[[#This Row],[State]], [1]!Nurse[MDScensus])</f>
        <v>4.1913027257153219</v>
      </c>
      <c r="Y26" s="28">
        <f>RANK(State10[[#This Row],[Total Nurse Staff HPRD]], State10[Total Nurse Staff HPRD])</f>
        <v>9</v>
      </c>
      <c r="Z26" s="48" cm="1">
        <f t="array" ref="Z26">SUMPRODUCT(
   ([1]!Nurse[State]=State10[[#This Row],[State]]) *
   ([1]!Nurse[Expected Total Nurse Staff HPRD]) *
   ([1]!Nurse[MDScensus])
 ) /
 SUMIFS([1]!Nurse[MDScensus], [1]!Nurse[State], State10[[#This Row],[State]], [1]!Nurse[Expected Total Nurse Staff HPRD], "&gt;0")</f>
        <v>4.7653408845833134</v>
      </c>
      <c r="AA26" s="47">
        <f>IF(State10[[#This Row],[Expected Total Nurse Staff HPRD]]&lt;&gt;0,
   (State10[[#This Row],[Total Nurse Staff HPRD]] - State10[[#This Row],[Expected Total Nurse Staff HPRD]]) /
   ABS(State10[[#This Row],[Expected Total Nurse Staff HPRD]]),
   "")</f>
        <v>-0.12046109035454365</v>
      </c>
      <c r="AB26" s="47">
        <f>COUNTIFS([1]!Nurse[Total Nurse Staff HPRD], "&gt;=4.1", [1]!Nurse[State], State10[[#This Row],[State]])/(COUNTIF([1]!Nurse[State], State10[[#This Row],[State]]))</f>
        <v>0.51928783382789323</v>
      </c>
      <c r="AC26" s="47">
        <f>COUNTIFS([1]!Nurse[Total Nurse Staff HPRD], "&gt;=3.48", [1]!Nurse[State], State10[[#This Row],[State]])/(COUNTIF([1]!Nurse[State], State10[[#This Row],[State]]))</f>
        <v>0.85163204747774479</v>
      </c>
      <c r="AD26" s="47">
        <f>COUNTIFS([1]!Nurse[Total RN Staff HPRD], "&gt;=0.75", [1]!Nurse[State], State10[[#This Row],[State]])/(COUNTIF([1]!Nurse[State], State10[[#This Row],[State]]))</f>
        <v>0.75074183976261133</v>
      </c>
      <c r="AE26" s="48">
        <f>SUMIF([1]!Nurse[State], State10[[#This Row],[State]], [1]!Nurse[Total RN Hours (w/ Admin, DON)])/SUMIF([1]!Nurse[State], State10[[#This Row],[State]], [1]!Nurse[MDScensus])</f>
        <v>1.0218881287253054</v>
      </c>
      <c r="AF26" s="28">
        <f>RANK(State10[[#This Row],[RN Staff HPRD]], State10[RN Staff HPRD])</f>
        <v>6</v>
      </c>
      <c r="AG26" s="47">
        <f>SUMIF([1]!Nurse[State], State10[[#This Row],[State]], [1]!Nurse[Total Contract Hours])/SUMIF([1]!Nurse[State], State10[[#This Row],[State]], [1]!Nurse[Total Nurse Staff Hours])</f>
        <v>6.3667489367485064E-2</v>
      </c>
      <c r="AH26" s="28">
        <f>RANK(State10[[#This Row],[% Contract]],State10[% Contract])</f>
        <v>24</v>
      </c>
      <c r="AJ26" s="17" t="s">
        <v>281</v>
      </c>
      <c r="AK26" s="47">
        <f>ContractSummary12[[#This Row],[Contract Hours2]]/ContractSummary12[[#This Row],[Total Hours]]</f>
        <v>1.9361860431252143E-2</v>
      </c>
      <c r="AL26" s="31">
        <f>SUM([1]!Nurse[Hrs_MedAide_ctr])</f>
        <v>2543.0086666666625</v>
      </c>
      <c r="AM26" s="31">
        <f>SUM([1]!Nurse[Hrs_MedAide])</f>
        <v>131341.1319999999</v>
      </c>
      <c r="AO26" s="31"/>
      <c r="AP26" s="31"/>
    </row>
    <row r="27" spans="6:42" ht="15" customHeight="1" x14ac:dyDescent="0.2">
      <c r="U27" s="29" t="s">
        <v>247</v>
      </c>
      <c r="V27" s="31">
        <f>SUMIF([1]!Nurse[State], State10[[#This Row],[State]], [1]!Nurse[MDScensus])</f>
        <v>34238.0666666666</v>
      </c>
      <c r="W27" s="31">
        <f>COUNTIF([1]!Nurse[State], State10[[#This Row],[State]])</f>
        <v>475</v>
      </c>
      <c r="X27" s="30">
        <f>SUMIF([1]!Nurse[State], State10[[#This Row],[State]], [1]!Nurse[Total Nurse Staff Hours])/SUMIF([1]!Nurse[State], State10[[#This Row],[State]], [1]!Nurse[MDScensus])</f>
        <v>3.2938420685747447</v>
      </c>
      <c r="Y27" s="28">
        <f>RANK(State10[[#This Row],[Total Nurse Staff HPRD]], State10[Total Nurse Staff HPRD])</f>
        <v>51</v>
      </c>
      <c r="Z27" s="48" cm="1">
        <f t="array" ref="Z27">SUMPRODUCT(
   ([1]!Nurse[State]=State10[[#This Row],[State]]) *
   ([1]!Nurse[Expected Total Nurse Staff HPRD]) *
   ([1]!Nurse[MDScensus])
 ) /
 SUMIFS([1]!Nurse[MDScensus], [1]!Nurse[State], State10[[#This Row],[State]], [1]!Nurse[Expected Total Nurse Staff HPRD], "&gt;0")</f>
        <v>4.8436513398358718</v>
      </c>
      <c r="AA27" s="47">
        <f>IF(State10[[#This Row],[Expected Total Nurse Staff HPRD]]&lt;&gt;0,
   (State10[[#This Row],[Total Nurse Staff HPRD]] - State10[[#This Row],[Expected Total Nurse Staff HPRD]]) /
   ABS(State10[[#This Row],[Expected Total Nurse Staff HPRD]]),
   "")</f>
        <v>-0.31996714101094709</v>
      </c>
      <c r="AB27" s="47">
        <f>COUNTIFS([1]!Nurse[Total Nurse Staff HPRD], "&gt;=4.1", [1]!Nurse[State], State10[[#This Row],[State]])/(COUNTIF([1]!Nurse[State], State10[[#This Row],[State]]))</f>
        <v>0.14105263157894737</v>
      </c>
      <c r="AC27" s="47">
        <f>COUNTIFS([1]!Nurse[Total Nurse Staff HPRD], "&gt;=3.48", [1]!Nurse[State], State10[[#This Row],[State]])/(COUNTIF([1]!Nurse[State], State10[[#This Row],[State]]))</f>
        <v>0.36</v>
      </c>
      <c r="AD27" s="47">
        <f>COUNTIFS([1]!Nurse[Total RN Staff HPRD], "&gt;=0.75", [1]!Nurse[State], State10[[#This Row],[State]])/(COUNTIF([1]!Nurse[State], State10[[#This Row],[State]]))</f>
        <v>7.5789473684210532E-2</v>
      </c>
      <c r="AE27" s="48">
        <f>SUMIF([1]!Nurse[State], State10[[#This Row],[State]], [1]!Nurse[Total RN Hours (w/ Admin, DON)])/SUMIF([1]!Nurse[State], State10[[#This Row],[State]], [1]!Nurse[MDScensus])</f>
        <v>0.39245810543560061</v>
      </c>
      <c r="AF27" s="28">
        <f>RANK(State10[[#This Row],[RN Staff HPRD]], State10[RN Staff HPRD])</f>
        <v>50</v>
      </c>
      <c r="AG27" s="47">
        <f>SUMIF([1]!Nurse[State], State10[[#This Row],[State]], [1]!Nurse[Total Contract Hours])/SUMIF([1]!Nurse[State], State10[[#This Row],[State]], [1]!Nurse[Total Nurse Staff Hours])</f>
        <v>4.6704545090787496E-2</v>
      </c>
      <c r="AH27" s="28">
        <f>RANK(State10[[#This Row],[% Contract]],State10[% Contract])</f>
        <v>36</v>
      </c>
      <c r="AJ27" s="51" t="s">
        <v>18</v>
      </c>
      <c r="AK27" s="50">
        <f>ContractSummary12[[#This Row],[Contract Hours2]]/ContractSummary12[[#This Row],[Total Hours]]</f>
        <v>6.1870506971505514E-2</v>
      </c>
      <c r="AL27" s="49">
        <f>SUM([1]!Nurse[Total Contract Hours])</f>
        <v>285518.5183333325</v>
      </c>
      <c r="AM27" s="49">
        <f>SUM([1]!Nurse[Total Nurse Staff Hours])</f>
        <v>4614775.8004444372</v>
      </c>
    </row>
    <row r="28" spans="6:42" ht="15" customHeight="1" x14ac:dyDescent="0.2">
      <c r="U28" s="29" t="s">
        <v>246</v>
      </c>
      <c r="V28" s="31">
        <f>SUMIF([1]!Nurse[State], State10[[#This Row],[State]], [1]!Nurse[MDScensus])</f>
        <v>14748.533333333311</v>
      </c>
      <c r="W28" s="31">
        <f>COUNTIF([1]!Nurse[State], State10[[#This Row],[State]])</f>
        <v>200</v>
      </c>
      <c r="X28" s="30">
        <f>SUMIF([1]!Nurse[State], State10[[#This Row],[State]], [1]!Nurse[Total Nurse Staff Hours])/SUMIF([1]!Nurse[State], State10[[#This Row],[State]], [1]!Nurse[MDScensus])</f>
        <v>4.0084146973559696</v>
      </c>
      <c r="Y28" s="28">
        <f>RANK(State10[[#This Row],[Total Nurse Staff HPRD]], State10[Total Nurse Staff HPRD])</f>
        <v>16</v>
      </c>
      <c r="Z28" s="48" cm="1">
        <f t="array" ref="Z28">SUMPRODUCT(
   ([1]!Nurse[State]=State10[[#This Row],[State]]) *
   ([1]!Nurse[Expected Total Nurse Staff HPRD]) *
   ([1]!Nurse[MDScensus])
 ) /
 SUMIFS([1]!Nurse[MDScensus], [1]!Nurse[State], State10[[#This Row],[State]], [1]!Nurse[Expected Total Nurse Staff HPRD], "&gt;0")</f>
        <v>4.7188859883536027</v>
      </c>
      <c r="AA28" s="47">
        <f>IF(State10[[#This Row],[Expected Total Nurse Staff HPRD]]&lt;&gt;0,
   (State10[[#This Row],[Total Nurse Staff HPRD]] - State10[[#This Row],[Expected Total Nurse Staff HPRD]]) /
   ABS(State10[[#This Row],[Expected Total Nurse Staff HPRD]]),
   "")</f>
        <v>-0.15055911347532117</v>
      </c>
      <c r="AB28" s="47">
        <f>COUNTIFS([1]!Nurse[Total Nurse Staff HPRD], "&gt;=4.1", [1]!Nurse[State], State10[[#This Row],[State]])/(COUNTIF([1]!Nurse[State], State10[[#This Row],[State]]))</f>
        <v>0.44</v>
      </c>
      <c r="AC28" s="47">
        <f>COUNTIFS([1]!Nurse[Total Nurse Staff HPRD], "&gt;=3.48", [1]!Nurse[State], State10[[#This Row],[State]])/(COUNTIF([1]!Nurse[State], State10[[#This Row],[State]]))</f>
        <v>0.83</v>
      </c>
      <c r="AD28" s="47">
        <f>COUNTIFS([1]!Nurse[Total RN Staff HPRD], "&gt;=0.75", [1]!Nurse[State], State10[[#This Row],[State]])/(COUNTIF([1]!Nurse[State], State10[[#This Row],[State]]))</f>
        <v>0.17499999999999999</v>
      </c>
      <c r="AE28" s="48">
        <f>SUMIF([1]!Nurse[State], State10[[#This Row],[State]], [1]!Nurse[Total RN Hours (w/ Admin, DON)])/SUMIF([1]!Nurse[State], State10[[#This Row],[State]], [1]!Nurse[MDScensus])</f>
        <v>0.57651862934770159</v>
      </c>
      <c r="AF28" s="28">
        <f>RANK(State10[[#This Row],[RN Staff HPRD]], State10[RN Staff HPRD])</f>
        <v>41</v>
      </c>
      <c r="AG28" s="47">
        <f>SUMIF([1]!Nurse[State], State10[[#This Row],[State]], [1]!Nurse[Total Contract Hours])/SUMIF([1]!Nurse[State], State10[[#This Row],[State]], [1]!Nurse[Total Nurse Staff Hours])</f>
        <v>4.9169778666158563E-2</v>
      </c>
      <c r="AH28" s="28">
        <f>RANK(State10[[#This Row],[% Contract]],State10[% Contract])</f>
        <v>34</v>
      </c>
    </row>
    <row r="29" spans="6:42" ht="15" customHeight="1" x14ac:dyDescent="0.2">
      <c r="U29" s="29" t="s">
        <v>245</v>
      </c>
      <c r="V29" s="31">
        <f>SUMIF([1]!Nurse[State], State10[[#This Row],[State]], [1]!Nurse[MDScensus])</f>
        <v>3234.2777777777724</v>
      </c>
      <c r="W29" s="31">
        <f>COUNTIF([1]!Nurse[State], State10[[#This Row],[State]])</f>
        <v>58</v>
      </c>
      <c r="X29" s="30">
        <f>SUMIF([1]!Nurse[State], State10[[#This Row],[State]], [1]!Nurse[Total Nurse Staff Hours])/SUMIF([1]!Nurse[State], State10[[#This Row],[State]], [1]!Nurse[MDScensus])</f>
        <v>3.7589202466633456</v>
      </c>
      <c r="Y29" s="28">
        <f>RANK(State10[[#This Row],[Total Nurse Staff HPRD]], State10[Total Nurse Staff HPRD])</f>
        <v>30</v>
      </c>
      <c r="Z29" s="48" cm="1">
        <f t="array" ref="Z29">SUMPRODUCT(
   ([1]!Nurse[State]=State10[[#This Row],[State]]) *
   ([1]!Nurse[Expected Total Nurse Staff HPRD]) *
   ([1]!Nurse[MDScensus])
 ) /
 SUMIFS([1]!Nurse[MDScensus], [1]!Nurse[State], State10[[#This Row],[State]], [1]!Nurse[Expected Total Nurse Staff HPRD], "&gt;0")</f>
        <v>4.7278897643352495</v>
      </c>
      <c r="AA29" s="47">
        <f>IF(State10[[#This Row],[Expected Total Nurse Staff HPRD]]&lt;&gt;0,
   (State10[[#This Row],[Total Nurse Staff HPRD]] - State10[[#This Row],[Expected Total Nurse Staff HPRD]]) /
   ABS(State10[[#This Row],[Expected Total Nurse Staff HPRD]]),
   "")</f>
        <v>-0.20494756983999668</v>
      </c>
      <c r="AB29" s="47">
        <f>COUNTIFS([1]!Nurse[Total Nurse Staff HPRD], "&gt;=4.1", [1]!Nurse[State], State10[[#This Row],[State]])/(COUNTIF([1]!Nurse[State], State10[[#This Row],[State]]))</f>
        <v>0.43103448275862066</v>
      </c>
      <c r="AC29" s="47">
        <f>COUNTIFS([1]!Nurse[Total Nurse Staff HPRD], "&gt;=3.48", [1]!Nurse[State], State10[[#This Row],[State]])/(COUNTIF([1]!Nurse[State], State10[[#This Row],[State]]))</f>
        <v>0.60344827586206895</v>
      </c>
      <c r="AD29" s="47">
        <f>COUNTIFS([1]!Nurse[Total RN Staff HPRD], "&gt;=0.75", [1]!Nurse[State], State10[[#This Row],[State]])/(COUNTIF([1]!Nurse[State], State10[[#This Row],[State]]))</f>
        <v>0.56896551724137934</v>
      </c>
      <c r="AE29" s="48">
        <f>SUMIF([1]!Nurse[State], State10[[#This Row],[State]], [1]!Nurse[Total RN Hours (w/ Admin, DON)])/SUMIF([1]!Nurse[State], State10[[#This Row],[State]], [1]!Nurse[MDScensus])</f>
        <v>0.86153941288627078</v>
      </c>
      <c r="AF29" s="28">
        <f>RANK(State10[[#This Row],[RN Staff HPRD]], State10[RN Staff HPRD])</f>
        <v>10</v>
      </c>
      <c r="AG29" s="47">
        <f>SUMIF([1]!Nurse[State], State10[[#This Row],[State]], [1]!Nurse[Total Contract Hours])/SUMIF([1]!Nurse[State], State10[[#This Row],[State]], [1]!Nurse[Total Nurse Staff Hours])</f>
        <v>0.11405682486914916</v>
      </c>
      <c r="AH29" s="28">
        <f>RANK(State10[[#This Row],[% Contract]],State10[% Contract])</f>
        <v>8</v>
      </c>
      <c r="AK29" s="31"/>
    </row>
    <row r="30" spans="6:42" ht="15" customHeight="1" x14ac:dyDescent="0.2">
      <c r="U30" s="29" t="s">
        <v>244</v>
      </c>
      <c r="V30" s="31">
        <f>SUMIF([1]!Nurse[State], State10[[#This Row],[State]], [1]!Nurse[MDScensus])</f>
        <v>35163.388888888796</v>
      </c>
      <c r="W30" s="31">
        <f>COUNTIF([1]!Nurse[State], State10[[#This Row],[State]])</f>
        <v>411</v>
      </c>
      <c r="X30" s="30">
        <f>SUMIF([1]!Nurse[State], State10[[#This Row],[State]], [1]!Nurse[Total Nurse Staff Hours])/SUMIF([1]!Nurse[State], State10[[#This Row],[State]], [1]!Nurse[MDScensus])</f>
        <v>3.5957684713109153</v>
      </c>
      <c r="Y30" s="28">
        <f>RANK(State10[[#This Row],[Total Nurse Staff HPRD]], State10[Total Nurse Staff HPRD])</f>
        <v>44</v>
      </c>
      <c r="Z30" s="48" cm="1">
        <f t="array" ref="Z30">SUMPRODUCT(
   ([1]!Nurse[State]=State10[[#This Row],[State]]) *
   ([1]!Nurse[Expected Total Nurse Staff HPRD]) *
   ([1]!Nurse[MDScensus])
 ) /
 SUMIFS([1]!Nurse[MDScensus], [1]!Nurse[State], State10[[#This Row],[State]], [1]!Nurse[Expected Total Nurse Staff HPRD], "&gt;0")</f>
        <v>4.89632715429246</v>
      </c>
      <c r="AA30" s="47">
        <f>IF(State10[[#This Row],[Expected Total Nurse Staff HPRD]]&lt;&gt;0,
   (State10[[#This Row],[Total Nurse Staff HPRD]] - State10[[#This Row],[Expected Total Nurse Staff HPRD]]) /
   ABS(State10[[#This Row],[Expected Total Nurse Staff HPRD]]),
   "")</f>
        <v>-0.26561923703186069</v>
      </c>
      <c r="AB30" s="47">
        <f>COUNTIFS([1]!Nurse[Total Nurse Staff HPRD], "&gt;=4.1", [1]!Nurse[State], State10[[#This Row],[State]])/(COUNTIF([1]!Nurse[State], State10[[#This Row],[State]]))</f>
        <v>0.19951338199513383</v>
      </c>
      <c r="AC30" s="47">
        <f>COUNTIFS([1]!Nurse[Total Nurse Staff HPRD], "&gt;=3.48", [1]!Nurse[State], State10[[#This Row],[State]])/(COUNTIF([1]!Nurse[State], State10[[#This Row],[State]]))</f>
        <v>0.52554744525547448</v>
      </c>
      <c r="AD30" s="47">
        <f>COUNTIFS([1]!Nurse[Total RN Staff HPRD], "&gt;=0.75", [1]!Nurse[State], State10[[#This Row],[State]])/(COUNTIF([1]!Nurse[State], State10[[#This Row],[State]]))</f>
        <v>0.17761557177615572</v>
      </c>
      <c r="AE30" s="48">
        <f>SUMIF([1]!Nurse[State], State10[[#This Row],[State]], [1]!Nurse[Total RN Hours (w/ Admin, DON)])/SUMIF([1]!Nurse[State], State10[[#This Row],[State]], [1]!Nurse[MDScensus])</f>
        <v>0.51703924062432449</v>
      </c>
      <c r="AF30" s="28">
        <f>RANK(State10[[#This Row],[RN Staff HPRD]], State10[RN Staff HPRD])</f>
        <v>46</v>
      </c>
      <c r="AG30" s="47">
        <f>SUMIF([1]!Nurse[State], State10[[#This Row],[State]], [1]!Nurse[Total Contract Hours])/SUMIF([1]!Nurse[State], State10[[#This Row],[State]], [1]!Nurse[Total Nurse Staff Hours])</f>
        <v>9.1764233633613593E-2</v>
      </c>
      <c r="AH30" s="28">
        <f>RANK(State10[[#This Row],[% Contract]],State10[% Contract])</f>
        <v>14</v>
      </c>
    </row>
    <row r="31" spans="6:42" ht="15" customHeight="1" x14ac:dyDescent="0.2">
      <c r="U31" s="29" t="s">
        <v>243</v>
      </c>
      <c r="V31" s="31">
        <f>SUMIF([1]!Nurse[State], State10[[#This Row],[State]], [1]!Nurse[MDScensus])</f>
        <v>4412.6555555555478</v>
      </c>
      <c r="W31" s="31">
        <f>COUNTIF([1]!Nurse[State], State10[[#This Row],[State]])</f>
        <v>71</v>
      </c>
      <c r="X31" s="30">
        <f>SUMIF([1]!Nurse[State], State10[[#This Row],[State]], [1]!Nurse[Total Nurse Staff Hours])/SUMIF([1]!Nurse[State], State10[[#This Row],[State]], [1]!Nurse[MDScensus])</f>
        <v>4.6133551980540801</v>
      </c>
      <c r="Y31" s="28">
        <f>RANK(State10[[#This Row],[Total Nurse Staff HPRD]], State10[Total Nurse Staff HPRD])</f>
        <v>3</v>
      </c>
      <c r="Z31" s="48" cm="1">
        <f t="array" ref="Z31">SUMPRODUCT(
   ([1]!Nurse[State]=State10[[#This Row],[State]]) *
   ([1]!Nurse[Expected Total Nurse Staff HPRD]) *
   ([1]!Nurse[MDScensus])
 ) /
 SUMIFS([1]!Nurse[MDScensus], [1]!Nurse[State], State10[[#This Row],[State]], [1]!Nurse[Expected Total Nurse Staff HPRD], "&gt;0")</f>
        <v>4.7740141749305494</v>
      </c>
      <c r="AA31" s="47">
        <f>IF(State10[[#This Row],[Expected Total Nurse Staff HPRD]]&lt;&gt;0,
   (State10[[#This Row],[Total Nurse Staff HPRD]] - State10[[#This Row],[Expected Total Nurse Staff HPRD]]) /
   ABS(State10[[#This Row],[Expected Total Nurse Staff HPRD]]),
   "")</f>
        <v>-3.3652806839185062E-2</v>
      </c>
      <c r="AB31" s="47">
        <f>COUNTIFS([1]!Nurse[Total Nurse Staff HPRD], "&gt;=4.1", [1]!Nurse[State], State10[[#This Row],[State]])/(COUNTIF([1]!Nurse[State], State10[[#This Row],[State]]))</f>
        <v>0.71830985915492962</v>
      </c>
      <c r="AC31" s="47">
        <f>COUNTIFS([1]!Nurse[Total Nurse Staff HPRD], "&gt;=3.48", [1]!Nurse[State], State10[[#This Row],[State]])/(COUNTIF([1]!Nurse[State], State10[[#This Row],[State]]))</f>
        <v>0.94366197183098588</v>
      </c>
      <c r="AD31" s="47">
        <f>COUNTIFS([1]!Nurse[Total RN Staff HPRD], "&gt;=0.75", [1]!Nurse[State], State10[[#This Row],[State]])/(COUNTIF([1]!Nurse[State], State10[[#This Row],[State]]))</f>
        <v>0.76056338028169013</v>
      </c>
      <c r="AE31" s="48">
        <f>SUMIF([1]!Nurse[State], State10[[#This Row],[State]], [1]!Nurse[Total RN Hours (w/ Admin, DON)])/SUMIF([1]!Nurse[State], State10[[#This Row],[State]], [1]!Nurse[MDScensus])</f>
        <v>0.90436766472192376</v>
      </c>
      <c r="AF31" s="28">
        <f>RANK(State10[[#This Row],[RN Staff HPRD]], State10[RN Staff HPRD])</f>
        <v>9</v>
      </c>
      <c r="AG31" s="47">
        <f>SUMIF([1]!Nurse[State], State10[[#This Row],[State]], [1]!Nurse[Total Contract Hours])/SUMIF([1]!Nurse[State], State10[[#This Row],[State]], [1]!Nurse[Total Nurse Staff Hours])</f>
        <v>0.1332608884893593</v>
      </c>
      <c r="AH31" s="28">
        <f>RANK(State10[[#This Row],[% Contract]],State10[% Contract])</f>
        <v>4</v>
      </c>
      <c r="AJ31" s="29"/>
      <c r="AK31" s="29"/>
    </row>
    <row r="32" spans="6:42" ht="15" customHeight="1" x14ac:dyDescent="0.2">
      <c r="U32" s="29" t="s">
        <v>242</v>
      </c>
      <c r="V32" s="31">
        <f>SUMIF([1]!Nurse[State], State10[[#This Row],[State]], [1]!Nurse[MDScensus])</f>
        <v>9710.5777777777657</v>
      </c>
      <c r="W32" s="31">
        <f>COUNTIF([1]!Nurse[State], State10[[#This Row],[State]])</f>
        <v>180</v>
      </c>
      <c r="X32" s="30">
        <f>SUMIF([1]!Nurse[State], State10[[#This Row],[State]], [1]!Nurse[Total Nurse Staff Hours])/SUMIF([1]!Nurse[State], State10[[#This Row],[State]], [1]!Nurse[MDScensus])</f>
        <v>4.0426580407161934</v>
      </c>
      <c r="Y32" s="28">
        <f>RANK(State10[[#This Row],[Total Nurse Staff HPRD]], State10[Total Nurse Staff HPRD])</f>
        <v>13</v>
      </c>
      <c r="Z32" s="48" cm="1">
        <f t="array" ref="Z32">SUMPRODUCT(
   ([1]!Nurse[State]=State10[[#This Row],[State]]) *
   ([1]!Nurse[Expected Total Nurse Staff HPRD]) *
   ([1]!Nurse[MDScensus])
 ) /
 SUMIFS([1]!Nurse[MDScensus], [1]!Nurse[State], State10[[#This Row],[State]], [1]!Nurse[Expected Total Nurse Staff HPRD], "&gt;0")</f>
        <v>4.8772932670102795</v>
      </c>
      <c r="AA32" s="47">
        <f>IF(State10[[#This Row],[Expected Total Nurse Staff HPRD]]&lt;&gt;0,
   (State10[[#This Row],[Total Nurse Staff HPRD]] - State10[[#This Row],[Expected Total Nurse Staff HPRD]]) /
   ABS(State10[[#This Row],[Expected Total Nurse Staff HPRD]]),
   "")</f>
        <v>-0.17112672554252764</v>
      </c>
      <c r="AB32" s="47">
        <f>COUNTIFS([1]!Nurse[Total Nurse Staff HPRD], "&gt;=4.1", [1]!Nurse[State], State10[[#This Row],[State]])/(COUNTIF([1]!Nurse[State], State10[[#This Row],[State]]))</f>
        <v>0.35555555555555557</v>
      </c>
      <c r="AC32" s="47">
        <f>COUNTIFS([1]!Nurse[Total Nurse Staff HPRD], "&gt;=3.48", [1]!Nurse[State], State10[[#This Row],[State]])/(COUNTIF([1]!Nurse[State], State10[[#This Row],[State]]))</f>
        <v>0.73333333333333328</v>
      </c>
      <c r="AD32" s="47">
        <f>COUNTIFS([1]!Nurse[Total RN Staff HPRD], "&gt;=0.75", [1]!Nurse[State], State10[[#This Row],[State]])/(COUNTIF([1]!Nurse[State], State10[[#This Row],[State]]))</f>
        <v>0.32777777777777778</v>
      </c>
      <c r="AE32" s="48">
        <f>SUMIF([1]!Nurse[State], State10[[#This Row],[State]], [1]!Nurse[Total RN Hours (w/ Admin, DON)])/SUMIF([1]!Nurse[State], State10[[#This Row],[State]], [1]!Nurse[MDScensus])</f>
        <v>0.6864468414741306</v>
      </c>
      <c r="AF32" s="28">
        <f>RANK(State10[[#This Row],[RN Staff HPRD]], State10[RN Staff HPRD])</f>
        <v>26</v>
      </c>
      <c r="AG32" s="47">
        <f>SUMIF([1]!Nurse[State], State10[[#This Row],[State]], [1]!Nurse[Total Contract Hours])/SUMIF([1]!Nurse[State], State10[[#This Row],[State]], [1]!Nurse[Total Nurse Staff Hours])</f>
        <v>8.2163209991863634E-2</v>
      </c>
      <c r="AH32" s="28">
        <f>RANK(State10[[#This Row],[% Contract]],State10[% Contract])</f>
        <v>16</v>
      </c>
      <c r="AJ32" s="29"/>
      <c r="AK32" s="29"/>
    </row>
    <row r="33" spans="21:39" ht="15" customHeight="1" x14ac:dyDescent="0.2">
      <c r="U33" s="29" t="s">
        <v>241</v>
      </c>
      <c r="V33" s="31">
        <f>SUMIF([1]!Nurse[State], State10[[#This Row],[State]], [1]!Nurse[MDScensus])</f>
        <v>5933.1777777777661</v>
      </c>
      <c r="W33" s="31">
        <f>COUNTIF([1]!Nurse[State], State10[[#This Row],[State]])</f>
        <v>74</v>
      </c>
      <c r="X33" s="30">
        <f>SUMIF([1]!Nurse[State], State10[[#This Row],[State]], [1]!Nurse[Total Nurse Staff Hours])/SUMIF([1]!Nurse[State], State10[[#This Row],[State]], [1]!Nurse[MDScensus])</f>
        <v>3.8736779428674173</v>
      </c>
      <c r="Y33" s="28">
        <f>RANK(State10[[#This Row],[Total Nurse Staff HPRD]], State10[Total Nurse Staff HPRD])</f>
        <v>21</v>
      </c>
      <c r="Z33" s="48" cm="1">
        <f t="array" ref="Z33">SUMPRODUCT(
   ([1]!Nurse[State]=State10[[#This Row],[State]]) *
   ([1]!Nurse[Expected Total Nurse Staff HPRD]) *
   ([1]!Nurse[MDScensus])
 ) /
 SUMIFS([1]!Nurse[MDScensus], [1]!Nurse[State], State10[[#This Row],[State]], [1]!Nurse[Expected Total Nurse Staff HPRD], "&gt;0")</f>
        <v>4.9059324054160527</v>
      </c>
      <c r="AA33" s="47">
        <f>IF(State10[[#This Row],[Expected Total Nurse Staff HPRD]]&lt;&gt;0,
   (State10[[#This Row],[Total Nurse Staff HPRD]] - State10[[#This Row],[Expected Total Nurse Staff HPRD]]) /
   ABS(State10[[#This Row],[Expected Total Nurse Staff HPRD]]),
   "")</f>
        <v>-0.21040943438377724</v>
      </c>
      <c r="AB33" s="47">
        <f>COUNTIFS([1]!Nurse[Total Nurse Staff HPRD], "&gt;=4.1", [1]!Nurse[State], State10[[#This Row],[State]])/(COUNTIF([1]!Nurse[State], State10[[#This Row],[State]]))</f>
        <v>0.3783783783783784</v>
      </c>
      <c r="AC33" s="47">
        <f>COUNTIFS([1]!Nurse[Total Nurse Staff HPRD], "&gt;=3.48", [1]!Nurse[State], State10[[#This Row],[State]])/(COUNTIF([1]!Nurse[State], State10[[#This Row],[State]]))</f>
        <v>0.63513513513513509</v>
      </c>
      <c r="AD33" s="47">
        <f>COUNTIFS([1]!Nurse[Total RN Staff HPRD], "&gt;=0.75", [1]!Nurse[State], State10[[#This Row],[State]])/(COUNTIF([1]!Nurse[State], State10[[#This Row],[State]]))</f>
        <v>0.40540540540540543</v>
      </c>
      <c r="AE33" s="48">
        <f>SUMIF([1]!Nurse[State], State10[[#This Row],[State]], [1]!Nurse[Total RN Hours (w/ Admin, DON)])/SUMIF([1]!Nurse[State], State10[[#This Row],[State]], [1]!Nurse[MDScensus])</f>
        <v>0.72668375200847957</v>
      </c>
      <c r="AF33" s="28">
        <f>RANK(State10[[#This Row],[RN Staff HPRD]], State10[RN Staff HPRD])</f>
        <v>21</v>
      </c>
      <c r="AG33" s="47">
        <f>SUMIF([1]!Nurse[State], State10[[#This Row],[State]], [1]!Nurse[Total Contract Hours])/SUMIF([1]!Nurse[State], State10[[#This Row],[State]], [1]!Nurse[Total Nurse Staff Hours])</f>
        <v>0.13166180530192506</v>
      </c>
      <c r="AH33" s="28">
        <f>RANK(State10[[#This Row],[% Contract]],State10[% Contract])</f>
        <v>5</v>
      </c>
      <c r="AJ33" s="29"/>
      <c r="AK33" s="29"/>
    </row>
    <row r="34" spans="21:39" ht="15" customHeight="1" x14ac:dyDescent="0.2">
      <c r="U34" s="29" t="s">
        <v>240</v>
      </c>
      <c r="V34" s="31">
        <f>SUMIF([1]!Nurse[State], State10[[#This Row],[State]], [1]!Nurse[MDScensus])</f>
        <v>41396.233333333243</v>
      </c>
      <c r="W34" s="31">
        <f>COUNTIF([1]!Nurse[State], State10[[#This Row],[State]])</f>
        <v>344</v>
      </c>
      <c r="X34" s="30">
        <f>SUMIF([1]!Nurse[State], State10[[#This Row],[State]], [1]!Nurse[Total Nurse Staff Hours])/SUMIF([1]!Nurse[State], State10[[#This Row],[State]], [1]!Nurse[MDScensus])</f>
        <v>3.6437484059875604</v>
      </c>
      <c r="Y34" s="28">
        <f>RANK(State10[[#This Row],[Total Nurse Staff HPRD]], State10[Total Nurse Staff HPRD])</f>
        <v>38</v>
      </c>
      <c r="Z34" s="48" cm="1">
        <f t="array" ref="Z34">SUMPRODUCT(
   ([1]!Nurse[State]=State10[[#This Row],[State]]) *
   ([1]!Nurse[Expected Total Nurse Staff HPRD]) *
   ([1]!Nurse[MDScensus])
 ) /
 SUMIFS([1]!Nurse[MDScensus], [1]!Nurse[State], State10[[#This Row],[State]], [1]!Nurse[Expected Total Nurse Staff HPRD], "&gt;0")</f>
        <v>4.9523125396572523</v>
      </c>
      <c r="AA34" s="47">
        <f>IF(State10[[#This Row],[Expected Total Nurse Staff HPRD]]&lt;&gt;0,
   (State10[[#This Row],[Total Nurse Staff HPRD]] - State10[[#This Row],[Expected Total Nurse Staff HPRD]]) /
   ABS(State10[[#This Row],[Expected Total Nurse Staff HPRD]]),
   "")</f>
        <v>-0.2642329463641358</v>
      </c>
      <c r="AB34" s="47">
        <f>COUNTIFS([1]!Nurse[Total Nurse Staff HPRD], "&gt;=4.1", [1]!Nurse[State], State10[[#This Row],[State]])/(COUNTIF([1]!Nurse[State], State10[[#This Row],[State]]))</f>
        <v>0.2441860465116279</v>
      </c>
      <c r="AC34" s="47">
        <f>COUNTIFS([1]!Nurse[Total Nurse Staff HPRD], "&gt;=3.48", [1]!Nurse[State], State10[[#This Row],[State]])/(COUNTIF([1]!Nurse[State], State10[[#This Row],[State]]))</f>
        <v>0.59883720930232553</v>
      </c>
      <c r="AD34" s="47">
        <f>COUNTIFS([1]!Nurse[Total RN Staff HPRD], "&gt;=0.75", [1]!Nurse[State], State10[[#This Row],[State]])/(COUNTIF([1]!Nurse[State], State10[[#This Row],[State]]))</f>
        <v>0.28197674418604651</v>
      </c>
      <c r="AE34" s="48">
        <f>SUMIF([1]!Nurse[State], State10[[#This Row],[State]], [1]!Nurse[Total RN Hours (w/ Admin, DON)])/SUMIF([1]!Nurse[State], State10[[#This Row],[State]], [1]!Nurse[MDScensus])</f>
        <v>0.59934111826062608</v>
      </c>
      <c r="AF34" s="28">
        <f>RANK(State10[[#This Row],[RN Staff HPRD]], State10[RN Staff HPRD])</f>
        <v>39</v>
      </c>
      <c r="AG34" s="47">
        <f>SUMIF([1]!Nurse[State], State10[[#This Row],[State]], [1]!Nurse[Total Contract Hours])/SUMIF([1]!Nurse[State], State10[[#This Row],[State]], [1]!Nurse[Total Nurse Staff Hours])</f>
        <v>0.12814549434501546</v>
      </c>
      <c r="AH34" s="28">
        <f>RANK(State10[[#This Row],[% Contract]],State10[% Contract])</f>
        <v>6</v>
      </c>
      <c r="AJ34" s="29"/>
      <c r="AK34" s="29"/>
    </row>
    <row r="35" spans="21:39" ht="15" customHeight="1" x14ac:dyDescent="0.2">
      <c r="U35" s="29" t="s">
        <v>239</v>
      </c>
      <c r="V35" s="31">
        <f>SUMIF([1]!Nurse[State], State10[[#This Row],[State]], [1]!Nurse[MDScensus])</f>
        <v>5550.9888888888781</v>
      </c>
      <c r="W35" s="31">
        <f>COUNTIF([1]!Nurse[State], State10[[#This Row],[State]])</f>
        <v>68</v>
      </c>
      <c r="X35" s="30">
        <f>SUMIF([1]!Nurse[State], State10[[#This Row],[State]], [1]!Nurse[Total Nurse Staff Hours])/SUMIF([1]!Nurse[State], State10[[#This Row],[State]], [1]!Nurse[MDScensus])</f>
        <v>3.4274582106491538</v>
      </c>
      <c r="Y35" s="28">
        <f>RANK(State10[[#This Row],[Total Nurse Staff HPRD]], State10[Total Nurse Staff HPRD])</f>
        <v>49</v>
      </c>
      <c r="Z35" s="48" cm="1">
        <f t="array" ref="Z35">SUMPRODUCT(
   ([1]!Nurse[State]=State10[[#This Row],[State]]) *
   ([1]!Nurse[Expected Total Nurse Staff HPRD]) *
   ([1]!Nurse[MDScensus])
 ) /
 SUMIFS([1]!Nurse[MDScensus], [1]!Nurse[State], State10[[#This Row],[State]], [1]!Nurse[Expected Total Nurse Staff HPRD], "&gt;0")</f>
        <v>4.7918356416526091</v>
      </c>
      <c r="AA35" s="47">
        <f>IF(State10[[#This Row],[Expected Total Nurse Staff HPRD]]&lt;&gt;0,
   (State10[[#This Row],[Total Nurse Staff HPRD]] - State10[[#This Row],[Expected Total Nurse Staff HPRD]]) /
   ABS(State10[[#This Row],[Expected Total Nurse Staff HPRD]]),
   "")</f>
        <v>-0.28472959697192546</v>
      </c>
      <c r="AB35" s="47">
        <f>COUNTIFS([1]!Nurse[Total Nurse Staff HPRD], "&gt;=4.1", [1]!Nurse[State], State10[[#This Row],[State]])/(COUNTIF([1]!Nurse[State], State10[[#This Row],[State]]))</f>
        <v>0.17647058823529413</v>
      </c>
      <c r="AC35" s="47">
        <f>COUNTIFS([1]!Nurse[Total Nurse Staff HPRD], "&gt;=3.48", [1]!Nurse[State], State10[[#This Row],[State]])/(COUNTIF([1]!Nurse[State], State10[[#This Row],[State]]))</f>
        <v>0.36764705882352944</v>
      </c>
      <c r="AD35" s="47">
        <f>COUNTIFS([1]!Nurse[Total RN Staff HPRD], "&gt;=0.75", [1]!Nurse[State], State10[[#This Row],[State]])/(COUNTIF([1]!Nurse[State], State10[[#This Row],[State]]))</f>
        <v>0.27941176470588236</v>
      </c>
      <c r="AE35" s="48">
        <f>SUMIF([1]!Nurse[State], State10[[#This Row],[State]], [1]!Nurse[Total RN Hours (w/ Admin, DON)])/SUMIF([1]!Nurse[State], State10[[#This Row],[State]], [1]!Nurse[MDScensus])</f>
        <v>0.61145241388421301</v>
      </c>
      <c r="AF35" s="28">
        <f>RANK(State10[[#This Row],[RN Staff HPRD]], State10[RN Staff HPRD])</f>
        <v>36</v>
      </c>
      <c r="AG35" s="47">
        <f>SUMIF([1]!Nurse[State], State10[[#This Row],[State]], [1]!Nurse[Total Contract Hours])/SUMIF([1]!Nurse[State], State10[[#This Row],[State]], [1]!Nurse[Total Nurse Staff Hours])</f>
        <v>0.1236290693770971</v>
      </c>
      <c r="AH35" s="28">
        <f>RANK(State10[[#This Row],[% Contract]],State10[% Contract])</f>
        <v>7</v>
      </c>
      <c r="AJ35" s="29"/>
      <c r="AK35" s="29"/>
      <c r="AM35" s="30"/>
    </row>
    <row r="36" spans="21:39" ht="15" customHeight="1" x14ac:dyDescent="0.2">
      <c r="U36" s="29" t="s">
        <v>238</v>
      </c>
      <c r="V36" s="31">
        <f>SUMIF([1]!Nurse[State], State10[[#This Row],[State]], [1]!Nurse[MDScensus])</f>
        <v>5968.6444444444342</v>
      </c>
      <c r="W36" s="31">
        <f>COUNTIF([1]!Nurse[State], State10[[#This Row],[State]])</f>
        <v>66</v>
      </c>
      <c r="X36" s="30">
        <f>SUMIF([1]!Nurse[State], State10[[#This Row],[State]], [1]!Nurse[Total Nurse Staff Hours])/SUMIF([1]!Nurse[State], State10[[#This Row],[State]], [1]!Nurse[MDScensus])</f>
        <v>3.8517980632118234</v>
      </c>
      <c r="Y36" s="28">
        <f>RANK(State10[[#This Row],[Total Nurse Staff HPRD]], State10[Total Nurse Staff HPRD])</f>
        <v>22</v>
      </c>
      <c r="Z36" s="48" cm="1">
        <f t="array" ref="Z36">SUMPRODUCT(
   ([1]!Nurse[State]=State10[[#This Row],[State]]) *
   ([1]!Nurse[Expected Total Nurse Staff HPRD]) *
   ([1]!Nurse[MDScensus])
 ) /
 SUMIFS([1]!Nurse[MDScensus], [1]!Nurse[State], State10[[#This Row],[State]], [1]!Nurse[Expected Total Nurse Staff HPRD], "&gt;0")</f>
        <v>5.0383876034143169</v>
      </c>
      <c r="AA36" s="47">
        <f>IF(State10[[#This Row],[Expected Total Nurse Staff HPRD]]&lt;&gt;0,
   (State10[[#This Row],[Total Nurse Staff HPRD]] - State10[[#This Row],[Expected Total Nurse Staff HPRD]]) /
   ABS(State10[[#This Row],[Expected Total Nurse Staff HPRD]]),
   "")</f>
        <v>-0.2355097768576575</v>
      </c>
      <c r="AB36" s="47">
        <f>COUNTIFS([1]!Nurse[Total Nurse Staff HPRD], "&gt;=4.1", [1]!Nurse[State], State10[[#This Row],[State]])/(COUNTIF([1]!Nurse[State], State10[[#This Row],[State]]))</f>
        <v>0.39393939393939392</v>
      </c>
      <c r="AC36" s="47">
        <f>COUNTIFS([1]!Nurse[Total Nurse Staff HPRD], "&gt;=3.48", [1]!Nurse[State], State10[[#This Row],[State]])/(COUNTIF([1]!Nurse[State], State10[[#This Row],[State]]))</f>
        <v>0.72727272727272729</v>
      </c>
      <c r="AD36" s="47">
        <f>COUNTIFS([1]!Nurse[Total RN Staff HPRD], "&gt;=0.75", [1]!Nurse[State], State10[[#This Row],[State]])/(COUNTIF([1]!Nurse[State], State10[[#This Row],[State]]))</f>
        <v>0.54545454545454541</v>
      </c>
      <c r="AE36" s="48">
        <f>SUMIF([1]!Nurse[State], State10[[#This Row],[State]], [1]!Nurse[Total RN Hours (w/ Admin, DON)])/SUMIF([1]!Nurse[State], State10[[#This Row],[State]], [1]!Nurse[MDScensus])</f>
        <v>0.78374719366764856</v>
      </c>
      <c r="AF36" s="28">
        <f>RANK(State10[[#This Row],[RN Staff HPRD]], State10[RN Staff HPRD])</f>
        <v>16</v>
      </c>
      <c r="AG36" s="47">
        <f>SUMIF([1]!Nurse[State], State10[[#This Row],[State]], [1]!Nurse[Total Contract Hours])/SUMIF([1]!Nurse[State], State10[[#This Row],[State]], [1]!Nurse[Total Nurse Staff Hours])</f>
        <v>2.5172862740332484E-2</v>
      </c>
      <c r="AH36" s="28">
        <f>RANK(State10[[#This Row],[% Contract]],State10[% Contract])</f>
        <v>49</v>
      </c>
    </row>
    <row r="37" spans="21:39" ht="15" customHeight="1" x14ac:dyDescent="0.2">
      <c r="U37" s="29" t="s">
        <v>237</v>
      </c>
      <c r="V37" s="31">
        <f>SUMIF([1]!Nurse[State], State10[[#This Row],[State]], [1]!Nurse[MDScensus])</f>
        <v>99072.199999999793</v>
      </c>
      <c r="W37" s="31">
        <f>COUNTIF([1]!Nurse[State], State10[[#This Row],[State]])</f>
        <v>596</v>
      </c>
      <c r="X37" s="30">
        <f>SUMIF([1]!Nurse[State], State10[[#This Row],[State]], [1]!Nurse[Total Nurse Staff Hours])/SUMIF([1]!Nurse[State], State10[[#This Row],[State]], [1]!Nurse[MDScensus])</f>
        <v>3.5591716377887366</v>
      </c>
      <c r="Y37" s="28">
        <f>RANK(State10[[#This Row],[Total Nurse Staff HPRD]], State10[Total Nurse Staff HPRD])</f>
        <v>45</v>
      </c>
      <c r="Z37" s="48" cm="1">
        <f t="array" ref="Z37">SUMPRODUCT(
   ([1]!Nurse[State]=State10[[#This Row],[State]]) *
   ([1]!Nurse[Expected Total Nurse Staff HPRD]) *
   ([1]!Nurse[MDScensus])
 ) /
 SUMIFS([1]!Nurse[MDScensus], [1]!Nurse[State], State10[[#This Row],[State]], [1]!Nurse[Expected Total Nurse Staff HPRD], "&gt;0")</f>
        <v>5.077657354028795</v>
      </c>
      <c r="AA37" s="47">
        <f>IF(State10[[#This Row],[Expected Total Nurse Staff HPRD]]&lt;&gt;0,
   (State10[[#This Row],[Total Nurse Staff HPRD]] - State10[[#This Row],[Expected Total Nurse Staff HPRD]]) /
   ABS(State10[[#This Row],[Expected Total Nurse Staff HPRD]]),
   "")</f>
        <v>-0.29905241932782989</v>
      </c>
      <c r="AB37" s="47">
        <f>COUNTIFS([1]!Nurse[Total Nurse Staff HPRD], "&gt;=4.1", [1]!Nurse[State], State10[[#This Row],[State]])/(COUNTIF([1]!Nurse[State], State10[[#This Row],[State]]))</f>
        <v>0.16946308724832215</v>
      </c>
      <c r="AC37" s="47">
        <f>COUNTIFS([1]!Nurse[Total Nurse Staff HPRD], "&gt;=3.48", [1]!Nurse[State], State10[[#This Row],[State]])/(COUNTIF([1]!Nurse[State], State10[[#This Row],[State]]))</f>
        <v>0.53691275167785235</v>
      </c>
      <c r="AD37" s="47">
        <f>COUNTIFS([1]!Nurse[Total RN Staff HPRD], "&gt;=0.75", [1]!Nurse[State], State10[[#This Row],[State]])/(COUNTIF([1]!Nurse[State], State10[[#This Row],[State]]))</f>
        <v>0.25335570469798657</v>
      </c>
      <c r="AE37" s="48">
        <f>SUMIF([1]!Nurse[State], State10[[#This Row],[State]], [1]!Nurse[Total RN Hours (w/ Admin, DON)])/SUMIF([1]!Nurse[State], State10[[#This Row],[State]], [1]!Nurse[MDScensus])</f>
        <v>0.6533381951075411</v>
      </c>
      <c r="AF37" s="28">
        <f>RANK(State10[[#This Row],[RN Staff HPRD]], State10[RN Staff HPRD])</f>
        <v>31</v>
      </c>
      <c r="AG37" s="47">
        <f>SUMIF([1]!Nurse[State], State10[[#This Row],[State]], [1]!Nurse[Total Contract Hours])/SUMIF([1]!Nurse[State], State10[[#This Row],[State]], [1]!Nurse[Total Nurse Staff Hours])</f>
        <v>0.11096491660553234</v>
      </c>
      <c r="AH37" s="28">
        <f>RANK(State10[[#This Row],[% Contract]],State10[% Contract])</f>
        <v>10</v>
      </c>
    </row>
    <row r="38" spans="21:39" ht="15" customHeight="1" x14ac:dyDescent="0.2">
      <c r="U38" s="29" t="s">
        <v>236</v>
      </c>
      <c r="V38" s="31">
        <f>SUMIF([1]!Nurse[State], State10[[#This Row],[State]], [1]!Nurse[MDScensus])</f>
        <v>67307.777777777694</v>
      </c>
      <c r="W38" s="31">
        <f>COUNTIF([1]!Nurse[State], State10[[#This Row],[State]])</f>
        <v>918</v>
      </c>
      <c r="X38" s="30">
        <f>SUMIF([1]!Nurse[State], State10[[#This Row],[State]], [1]!Nurse[Total Nurse Staff Hours])/SUMIF([1]!Nurse[State], State10[[#This Row],[State]], [1]!Nurse[MDScensus])</f>
        <v>3.6175594813212935</v>
      </c>
      <c r="Y38" s="28">
        <f>RANK(State10[[#This Row],[Total Nurse Staff HPRD]], State10[Total Nurse Staff HPRD])</f>
        <v>41</v>
      </c>
      <c r="Z38" s="48" cm="1">
        <f t="array" ref="Z38">SUMPRODUCT(
   ([1]!Nurse[State]=State10[[#This Row],[State]]) *
   ([1]!Nurse[Expected Total Nurse Staff HPRD]) *
   ([1]!Nurse[MDScensus])
 ) /
 SUMIFS([1]!Nurse[MDScensus], [1]!Nurse[State], State10[[#This Row],[State]], [1]!Nurse[Expected Total Nurse Staff HPRD], "&gt;0")</f>
        <v>5.099246552493625</v>
      </c>
      <c r="AA38" s="47">
        <f>IF(State10[[#This Row],[Expected Total Nurse Staff HPRD]]&lt;&gt;0,
   (State10[[#This Row],[Total Nurse Staff HPRD]] - State10[[#This Row],[Expected Total Nurse Staff HPRD]]) /
   ABS(State10[[#This Row],[Expected Total Nurse Staff HPRD]]),
   "")</f>
        <v>-0.29056980397383597</v>
      </c>
      <c r="AB38" s="47">
        <f>COUNTIFS([1]!Nurse[Total Nurse Staff HPRD], "&gt;=4.1", [1]!Nurse[State], State10[[#This Row],[State]])/(COUNTIF([1]!Nurse[State], State10[[#This Row],[State]]))</f>
        <v>0.17647058823529413</v>
      </c>
      <c r="AC38" s="47">
        <f>COUNTIFS([1]!Nurse[Total Nurse Staff HPRD], "&gt;=3.48", [1]!Nurse[State], State10[[#This Row],[State]])/(COUNTIF([1]!Nurse[State], State10[[#This Row],[State]]))</f>
        <v>0.53376906318082784</v>
      </c>
      <c r="AD38" s="47">
        <f>COUNTIFS([1]!Nurse[Total RN Staff HPRD], "&gt;=0.75", [1]!Nurse[State], State10[[#This Row],[State]])/(COUNTIF([1]!Nurse[State], State10[[#This Row],[State]]))</f>
        <v>0.23965141612200436</v>
      </c>
      <c r="AE38" s="48">
        <f>SUMIF([1]!Nurse[State], State10[[#This Row],[State]], [1]!Nurse[Total RN Hours (w/ Admin, DON)])/SUMIF([1]!Nurse[State], State10[[#This Row],[State]], [1]!Nurse[MDScensus])</f>
        <v>0.59178156726150211</v>
      </c>
      <c r="AF38" s="28">
        <f>RANK(State10[[#This Row],[RN Staff HPRD]], State10[RN Staff HPRD])</f>
        <v>40</v>
      </c>
      <c r="AG38" s="47">
        <f>SUMIF([1]!Nurse[State], State10[[#This Row],[State]], [1]!Nurse[Total Contract Hours])/SUMIF([1]!Nurse[State], State10[[#This Row],[State]], [1]!Nurse[Total Nurse Staff Hours])</f>
        <v>5.6398893408399701E-2</v>
      </c>
      <c r="AH38" s="28">
        <f>RANK(State10[[#This Row],[% Contract]],State10[% Contract])</f>
        <v>25</v>
      </c>
    </row>
    <row r="39" spans="21:39" ht="15" customHeight="1" x14ac:dyDescent="0.2">
      <c r="U39" s="29" t="s">
        <v>235</v>
      </c>
      <c r="V39" s="31">
        <f>SUMIF([1]!Nurse[State], State10[[#This Row],[State]], [1]!Nurse[MDScensus])</f>
        <v>16511.06666666664</v>
      </c>
      <c r="W39" s="31">
        <f>COUNTIF([1]!Nurse[State], State10[[#This Row],[State]])</f>
        <v>275</v>
      </c>
      <c r="X39" s="30">
        <f>SUMIF([1]!Nurse[State], State10[[#This Row],[State]], [1]!Nurse[Total Nurse Staff Hours])/SUMIF([1]!Nurse[State], State10[[#This Row],[State]], [1]!Nurse[MDScensus])</f>
        <v>3.7952292267273915</v>
      </c>
      <c r="Y39" s="28">
        <f>RANK(State10[[#This Row],[Total Nurse Staff HPRD]], State10[Total Nurse Staff HPRD])</f>
        <v>26</v>
      </c>
      <c r="Z39" s="48" cm="1">
        <f t="array" ref="Z39">SUMPRODUCT(
   ([1]!Nurse[State]=State10[[#This Row],[State]]) *
   ([1]!Nurse[Expected Total Nurse Staff HPRD]) *
   ([1]!Nurse[MDScensus])
 ) /
 SUMIFS([1]!Nurse[MDScensus], [1]!Nurse[State], State10[[#This Row],[State]], [1]!Nurse[Expected Total Nurse Staff HPRD], "&gt;0")</f>
        <v>4.6758046580909252</v>
      </c>
      <c r="AA39" s="47">
        <f>IF(State10[[#This Row],[Expected Total Nurse Staff HPRD]]&lt;&gt;0,
   (State10[[#This Row],[Total Nurse Staff HPRD]] - State10[[#This Row],[Expected Total Nurse Staff HPRD]]) /
   ABS(State10[[#This Row],[Expected Total Nurse Staff HPRD]]),
   "")</f>
        <v>-0.18832596649216352</v>
      </c>
      <c r="AB39" s="47">
        <f>COUNTIFS([1]!Nurse[Total Nurse Staff HPRD], "&gt;=4.1", [1]!Nurse[State], State10[[#This Row],[State]])/(COUNTIF([1]!Nurse[State], State10[[#This Row],[State]]))</f>
        <v>0.2690909090909091</v>
      </c>
      <c r="AC39" s="47">
        <f>COUNTIFS([1]!Nurse[Total Nurse Staff HPRD], "&gt;=3.48", [1]!Nurse[State], State10[[#This Row],[State]])/(COUNTIF([1]!Nurse[State], State10[[#This Row],[State]]))</f>
        <v>0.6836363636363636</v>
      </c>
      <c r="AD39" s="47">
        <f>COUNTIFS([1]!Nurse[Total RN Staff HPRD], "&gt;=0.75", [1]!Nurse[State], State10[[#This Row],[State]])/(COUNTIF([1]!Nurse[State], State10[[#This Row],[State]]))</f>
        <v>1.8181818181818181E-2</v>
      </c>
      <c r="AE39" s="48">
        <f>SUMIF([1]!Nurse[State], State10[[#This Row],[State]], [1]!Nurse[Total RN Hours (w/ Admin, DON)])/SUMIF([1]!Nurse[State], State10[[#This Row],[State]], [1]!Nurse[MDScensus])</f>
        <v>0.32869877173289824</v>
      </c>
      <c r="AF39" s="28">
        <f>RANK(State10[[#This Row],[RN Staff HPRD]], State10[RN Staff HPRD])</f>
        <v>51</v>
      </c>
      <c r="AG39" s="47">
        <f>SUMIF([1]!Nurse[State], State10[[#This Row],[State]], [1]!Nurse[Total Contract Hours])/SUMIF([1]!Nurse[State], State10[[#This Row],[State]], [1]!Nurse[Total Nurse Staff Hours])</f>
        <v>3.1930860734687379E-2</v>
      </c>
      <c r="AH39" s="28">
        <f>RANK(State10[[#This Row],[% Contract]],State10[% Contract])</f>
        <v>43</v>
      </c>
    </row>
    <row r="40" spans="21:39" ht="15" customHeight="1" x14ac:dyDescent="0.2">
      <c r="U40" s="29" t="s">
        <v>234</v>
      </c>
      <c r="V40" s="31">
        <f>SUMIF([1]!Nurse[State], State10[[#This Row],[State]], [1]!Nurse[MDScensus])</f>
        <v>6953.2999999999975</v>
      </c>
      <c r="W40" s="31">
        <f>COUNTIF([1]!Nurse[State], State10[[#This Row],[State]])</f>
        <v>127</v>
      </c>
      <c r="X40" s="30">
        <f>SUMIF([1]!Nurse[State], State10[[#This Row],[State]], [1]!Nurse[Total Nurse Staff Hours])/SUMIF([1]!Nurse[State], State10[[#This Row],[State]], [1]!Nurse[MDScensus])</f>
        <v>5.0073398082764804</v>
      </c>
      <c r="Y40" s="28">
        <f>RANK(State10[[#This Row],[Total Nurse Staff HPRD]], State10[Total Nurse Staff HPRD])</f>
        <v>2</v>
      </c>
      <c r="Z40" s="48" cm="1">
        <f t="array" ref="Z40">SUMPRODUCT(
   ([1]!Nurse[State]=State10[[#This Row],[State]]) *
   ([1]!Nurse[Expected Total Nurse Staff HPRD]) *
   ([1]!Nurse[MDScensus])
 ) /
 SUMIFS([1]!Nurse[MDScensus], [1]!Nurse[State], State10[[#This Row],[State]], [1]!Nurse[Expected Total Nurse Staff HPRD], "&gt;0")</f>
        <v>4.8948204727654963</v>
      </c>
      <c r="AA40" s="47">
        <f>IF(State10[[#This Row],[Expected Total Nurse Staff HPRD]]&lt;&gt;0,
   (State10[[#This Row],[Total Nurse Staff HPRD]] - State10[[#This Row],[Expected Total Nurse Staff HPRD]]) /
   ABS(State10[[#This Row],[Expected Total Nurse Staff HPRD]]),
   "")</f>
        <v>2.2987428474044218E-2</v>
      </c>
      <c r="AB40" s="47">
        <f>COUNTIFS([1]!Nurse[Total Nurse Staff HPRD], "&gt;=4.1", [1]!Nurse[State], State10[[#This Row],[State]])/(COUNTIF([1]!Nurse[State], State10[[#This Row],[State]]))</f>
        <v>0.96850393700787396</v>
      </c>
      <c r="AC40" s="47">
        <f>COUNTIFS([1]!Nurse[Total Nurse Staff HPRD], "&gt;=3.48", [1]!Nurse[State], State10[[#This Row],[State]])/(COUNTIF([1]!Nurse[State], State10[[#This Row],[State]]))</f>
        <v>0.98425196850393704</v>
      </c>
      <c r="AD40" s="47">
        <f>COUNTIFS([1]!Nurse[Total RN Staff HPRD], "&gt;=0.75", [1]!Nurse[State], State10[[#This Row],[State]])/(COUNTIF([1]!Nurse[State], State10[[#This Row],[State]]))</f>
        <v>0.3543307086614173</v>
      </c>
      <c r="AE40" s="48">
        <f>SUMIF([1]!Nurse[State], State10[[#This Row],[State]], [1]!Nurse[Total RN Hours (w/ Admin, DON)])/SUMIF([1]!Nurse[State], State10[[#This Row],[State]], [1]!Nurse[MDScensus])</f>
        <v>0.64970014237843843</v>
      </c>
      <c r="AF40" s="28">
        <f>RANK(State10[[#This Row],[RN Staff HPRD]], State10[RN Staff HPRD])</f>
        <v>32</v>
      </c>
      <c r="AG40" s="47">
        <f>SUMIF([1]!Nurse[State], State10[[#This Row],[State]], [1]!Nurse[Total Contract Hours])/SUMIF([1]!Nurse[State], State10[[#This Row],[State]], [1]!Nurse[Total Nurse Staff Hours])</f>
        <v>9.3624313314175672E-2</v>
      </c>
      <c r="AH40" s="28">
        <f>RANK(State10[[#This Row],[% Contract]],State10[% Contract])</f>
        <v>13</v>
      </c>
    </row>
    <row r="41" spans="21:39" ht="15" customHeight="1" x14ac:dyDescent="0.2">
      <c r="U41" s="29" t="s">
        <v>202</v>
      </c>
      <c r="V41" s="31">
        <f>SUMIF([1]!Nurse[State], State10[[#This Row],[State]], [1]!Nurse[MDScensus])</f>
        <v>67761.933333333131</v>
      </c>
      <c r="W41" s="31">
        <f>COUNTIF([1]!Nurse[State], State10[[#This Row],[State]])</f>
        <v>658</v>
      </c>
      <c r="X41" s="30">
        <f>SUMIF([1]!Nurse[State], State10[[#This Row],[State]], [1]!Nurse[Total Nurse Staff Hours])/SUMIF([1]!Nurse[State], State10[[#This Row],[State]], [1]!Nurse[MDScensus])</f>
        <v>3.6991439343033345</v>
      </c>
      <c r="Y41" s="28">
        <f>RANK(State10[[#This Row],[Total Nurse Staff HPRD]], State10[Total Nurse Staff HPRD])</f>
        <v>35</v>
      </c>
      <c r="Z41" s="48" cm="1">
        <f t="array" ref="Z41">SUMPRODUCT(
   ([1]!Nurse[State]=State10[[#This Row],[State]]) *
   ([1]!Nurse[Expected Total Nurse Staff HPRD]) *
   ([1]!Nurse[MDScensus])
 ) /
 SUMIFS([1]!Nurse[MDScensus], [1]!Nurse[State], State10[[#This Row],[State]], [1]!Nurse[Expected Total Nurse Staff HPRD], "&gt;0")</f>
        <v>4.8383066495303213</v>
      </c>
      <c r="AA41" s="47">
        <f>IF(State10[[#This Row],[Expected Total Nurse Staff HPRD]]&lt;&gt;0,
   (State10[[#This Row],[Total Nurse Staff HPRD]] - State10[[#This Row],[Expected Total Nurse Staff HPRD]]) /
   ABS(State10[[#This Row],[Expected Total Nurse Staff HPRD]]),
   "")</f>
        <v>-0.23544657206412722</v>
      </c>
      <c r="AB41" s="47">
        <f>COUNTIFS([1]!Nurse[Total Nurse Staff HPRD], "&gt;=4.1", [1]!Nurse[State], State10[[#This Row],[State]])/(COUNTIF([1]!Nurse[State], State10[[#This Row],[State]]))</f>
        <v>0.28419452887537994</v>
      </c>
      <c r="AC41" s="47">
        <f>COUNTIFS([1]!Nurse[Total Nurse Staff HPRD], "&gt;=3.48", [1]!Nurse[State], State10[[#This Row],[State]])/(COUNTIF([1]!Nurse[State], State10[[#This Row],[State]]))</f>
        <v>0.64133738601823709</v>
      </c>
      <c r="AD41" s="47">
        <f>COUNTIFS([1]!Nurse[Total RN Staff HPRD], "&gt;=0.75", [1]!Nurse[State], State10[[#This Row],[State]])/(COUNTIF([1]!Nurse[State], State10[[#This Row],[State]]))</f>
        <v>0.41185410334346506</v>
      </c>
      <c r="AE41" s="48">
        <f>SUMIF([1]!Nurse[State], State10[[#This Row],[State]], [1]!Nurse[Total RN Hours (w/ Admin, DON)])/SUMIF([1]!Nurse[State], State10[[#This Row],[State]], [1]!Nurse[MDScensus])</f>
        <v>0.67416141871854096</v>
      </c>
      <c r="AF41" s="28">
        <f>RANK(State10[[#This Row],[RN Staff HPRD]], State10[RN Staff HPRD])</f>
        <v>27</v>
      </c>
      <c r="AG41" s="47">
        <f>SUMIF([1]!Nurse[State], State10[[#This Row],[State]], [1]!Nurse[Total Contract Hours])/SUMIF([1]!Nurse[State], State10[[#This Row],[State]], [1]!Nurse[Total Nurse Staff Hours])</f>
        <v>0.13532848074239184</v>
      </c>
      <c r="AH41" s="28">
        <f>RANK(State10[[#This Row],[% Contract]],State10[% Contract])</f>
        <v>3</v>
      </c>
    </row>
    <row r="42" spans="21:39" ht="15" customHeight="1" x14ac:dyDescent="0.2">
      <c r="U42" s="29" t="s">
        <v>233</v>
      </c>
      <c r="V42" s="31">
        <f>SUMIF([1]!Nurse[State], State10[[#This Row],[State]], [1]!Nurse[MDScensus])</f>
        <v>141.93333333333302</v>
      </c>
      <c r="W42" s="31">
        <f>COUNTIF([1]!Nurse[State], State10[[#This Row],[State]])</f>
        <v>6</v>
      </c>
      <c r="X42" s="30">
        <f>SUMIF([1]!Nurse[State], State10[[#This Row],[State]], [1]!Nurse[Total Nurse Staff Hours])/SUMIF([1]!Nurse[State], State10[[#This Row],[State]], [1]!Nurse[MDScensus])</f>
        <v>4.1939713480507308</v>
      </c>
      <c r="Y42" s="28">
        <f>RANK(State10[[#This Row],[Total Nurse Staff HPRD]], State10[Total Nurse Staff HPRD])</f>
        <v>8</v>
      </c>
      <c r="Z42" s="48" cm="1">
        <f t="array" ref="Z42">SUMPRODUCT(
   ([1]!Nurse[State]=State10[[#This Row],[State]]) *
   ([1]!Nurse[Expected Total Nurse Staff HPRD]) *
   ([1]!Nurse[MDScensus])
 ) /
 SUMIFS([1]!Nurse[MDScensus], [1]!Nurse[State], State10[[#This Row],[State]], [1]!Nurse[Expected Total Nurse Staff HPRD], "&gt;0")</f>
        <v>4.8257780086477542</v>
      </c>
      <c r="AA42" s="47">
        <f>IF(State10[[#This Row],[Expected Total Nurse Staff HPRD]]&lt;&gt;0,
   (State10[[#This Row],[Total Nurse Staff HPRD]] - State10[[#This Row],[Expected Total Nurse Staff HPRD]]) /
   ABS(State10[[#This Row],[Expected Total Nurse Staff HPRD]]),
   "")</f>
        <v>-0.13092327485119107</v>
      </c>
      <c r="AB42" s="47">
        <f>COUNTIFS([1]!Nurse[Total Nurse Staff HPRD], "&gt;=4.1", [1]!Nurse[State], State10[[#This Row],[State]])/(COUNTIF([1]!Nurse[State], State10[[#This Row],[State]]))</f>
        <v>0.83333333333333337</v>
      </c>
      <c r="AC42" s="47">
        <f>COUNTIFS([1]!Nurse[Total Nurse Staff HPRD], "&gt;=3.48", [1]!Nurse[State], State10[[#This Row],[State]])/(COUNTIF([1]!Nurse[State], State10[[#This Row],[State]]))</f>
        <v>0.83333333333333337</v>
      </c>
      <c r="AD42" s="47">
        <f>COUNTIFS([1]!Nurse[Total RN Staff HPRD], "&gt;=0.75", [1]!Nurse[State], State10[[#This Row],[State]])/(COUNTIF([1]!Nurse[State], State10[[#This Row],[State]]))</f>
        <v>1</v>
      </c>
      <c r="AE42" s="48">
        <f>SUMIF([1]!Nurse[State], State10[[#This Row],[State]], [1]!Nurse[Total RN Hours (w/ Admin, DON)])/SUMIF([1]!Nurse[State], State10[[#This Row],[State]], [1]!Nurse[MDScensus])</f>
        <v>3.0476029434789469</v>
      </c>
      <c r="AF42" s="28">
        <f>RANK(State10[[#This Row],[RN Staff HPRD]], State10[RN Staff HPRD])</f>
        <v>1</v>
      </c>
      <c r="AG42" s="47">
        <f>SUMIF([1]!Nurse[State], State10[[#This Row],[State]], [1]!Nurse[Total Contract Hours])/SUMIF([1]!Nurse[State], State10[[#This Row],[State]], [1]!Nurse[Total Nurse Staff Hours])</f>
        <v>2.9436035792875612E-2</v>
      </c>
      <c r="AH42" s="28">
        <f>RANK(State10[[#This Row],[% Contract]],State10[% Contract])</f>
        <v>45</v>
      </c>
    </row>
    <row r="43" spans="21:39" ht="15" customHeight="1" x14ac:dyDescent="0.2">
      <c r="U43" s="29" t="s">
        <v>232</v>
      </c>
      <c r="V43" s="31">
        <f>SUMIF([1]!Nurse[State], State10[[#This Row],[State]], [1]!Nurse[MDScensus])</f>
        <v>6814.9555555555407</v>
      </c>
      <c r="W43" s="31">
        <f>COUNTIF([1]!Nurse[State], State10[[#This Row],[State]])</f>
        <v>71</v>
      </c>
      <c r="X43" s="30">
        <f>SUMIF([1]!Nurse[State], State10[[#This Row],[State]], [1]!Nurse[Total Nurse Staff Hours])/SUMIF([1]!Nurse[State], State10[[#This Row],[State]], [1]!Nurse[MDScensus])</f>
        <v>3.6919236124471393</v>
      </c>
      <c r="Y43" s="28">
        <f>RANK(State10[[#This Row],[Total Nurse Staff HPRD]], State10[Total Nurse Staff HPRD])</f>
        <v>36</v>
      </c>
      <c r="Z43" s="48" cm="1">
        <f t="array" ref="Z43">SUMPRODUCT(
   ([1]!Nurse[State]=State10[[#This Row],[State]]) *
   ([1]!Nurse[Expected Total Nurse Staff HPRD]) *
   ([1]!Nurse[MDScensus])
 ) /
 SUMIFS([1]!Nurse[MDScensus], [1]!Nurse[State], State10[[#This Row],[State]], [1]!Nurse[Expected Total Nurse Staff HPRD], "&gt;0")</f>
        <v>4.869918809856622</v>
      </c>
      <c r="AA43" s="47">
        <f>IF(State10[[#This Row],[Expected Total Nurse Staff HPRD]]&lt;&gt;0,
   (State10[[#This Row],[Total Nurse Staff HPRD]] - State10[[#This Row],[Expected Total Nurse Staff HPRD]]) /
   ABS(State10[[#This Row],[Expected Total Nurse Staff HPRD]]),
   "")</f>
        <v>-0.24189216358704851</v>
      </c>
      <c r="AB43" s="47">
        <f>COUNTIFS([1]!Nurse[Total Nurse Staff HPRD], "&gt;=4.1", [1]!Nurse[State], State10[[#This Row],[State]])/(COUNTIF([1]!Nurse[State], State10[[#This Row],[State]]))</f>
        <v>0.12676056338028169</v>
      </c>
      <c r="AC43" s="47">
        <f>COUNTIFS([1]!Nurse[Total Nurse Staff HPRD], "&gt;=3.48", [1]!Nurse[State], State10[[#This Row],[State]])/(COUNTIF([1]!Nurse[State], State10[[#This Row],[State]]))</f>
        <v>0.6901408450704225</v>
      </c>
      <c r="AD43" s="47">
        <f>COUNTIFS([1]!Nurse[Total RN Staff HPRD], "&gt;=0.75", [1]!Nurse[State], State10[[#This Row],[State]])/(COUNTIF([1]!Nurse[State], State10[[#This Row],[State]]))</f>
        <v>0.46478873239436619</v>
      </c>
      <c r="AE43" s="48">
        <f>SUMIF([1]!Nurse[State], State10[[#This Row],[State]], [1]!Nurse[Total RN Hours (w/ Admin, DON)])/SUMIF([1]!Nurse[State], State10[[#This Row],[State]], [1]!Nurse[MDScensus])</f>
        <v>0.70695568243699369</v>
      </c>
      <c r="AF43" s="28">
        <f>RANK(State10[[#This Row],[RN Staff HPRD]], State10[RN Staff HPRD])</f>
        <v>23</v>
      </c>
      <c r="AG43" s="47">
        <f>SUMIF([1]!Nurse[State], State10[[#This Row],[State]], [1]!Nurse[Total Contract Hours])/SUMIF([1]!Nurse[State], State10[[#This Row],[State]], [1]!Nurse[Total Nurse Staff Hours])</f>
        <v>4.8211772889540969E-2</v>
      </c>
      <c r="AH43" s="28">
        <f>RANK(State10[[#This Row],[% Contract]],State10[% Contract])</f>
        <v>35</v>
      </c>
    </row>
    <row r="44" spans="21:39" ht="15" customHeight="1" x14ac:dyDescent="0.2">
      <c r="U44" s="29" t="s">
        <v>231</v>
      </c>
      <c r="V44" s="31">
        <f>SUMIF([1]!Nurse[State], State10[[#This Row],[State]], [1]!Nurse[MDScensus])</f>
        <v>16653.422222222194</v>
      </c>
      <c r="W44" s="31">
        <f>COUNTIF([1]!Nurse[State], State10[[#This Row],[State]])</f>
        <v>185</v>
      </c>
      <c r="X44" s="30">
        <f>SUMIF([1]!Nurse[State], State10[[#This Row],[State]], [1]!Nurse[Total Nurse Staff Hours])/SUMIF([1]!Nurse[State], State10[[#This Row],[State]], [1]!Nurse[MDScensus])</f>
        <v>3.6133739878623552</v>
      </c>
      <c r="Y44" s="28">
        <f>RANK(State10[[#This Row],[Total Nurse Staff HPRD]], State10[Total Nurse Staff HPRD])</f>
        <v>42</v>
      </c>
      <c r="Z44" s="48" cm="1">
        <f t="array" ref="Z44">SUMPRODUCT(
   ([1]!Nurse[State]=State10[[#This Row],[State]]) *
   ([1]!Nurse[Expected Total Nurse Staff HPRD]) *
   ([1]!Nurse[MDScensus])
 ) /
 SUMIFS([1]!Nurse[MDScensus], [1]!Nurse[State], State10[[#This Row],[State]], [1]!Nurse[Expected Total Nurse Staff HPRD], "&gt;0")</f>
        <v>4.8733998053613341</v>
      </c>
      <c r="AA44" s="47">
        <f>IF(State10[[#This Row],[Expected Total Nurse Staff HPRD]]&lt;&gt;0,
   (State10[[#This Row],[Total Nurse Staff HPRD]] - State10[[#This Row],[Expected Total Nurse Staff HPRD]]) /
   ABS(State10[[#This Row],[Expected Total Nurse Staff HPRD]]),
   "")</f>
        <v>-0.25855170267639377</v>
      </c>
      <c r="AB44" s="47">
        <f>COUNTIFS([1]!Nurse[Total Nurse Staff HPRD], "&gt;=4.1", [1]!Nurse[State], State10[[#This Row],[State]])/(COUNTIF([1]!Nurse[State], State10[[#This Row],[State]]))</f>
        <v>0.23243243243243245</v>
      </c>
      <c r="AC44" s="47">
        <f>COUNTIFS([1]!Nurse[Total Nurse Staff HPRD], "&gt;=3.48", [1]!Nurse[State], State10[[#This Row],[State]])/(COUNTIF([1]!Nurse[State], State10[[#This Row],[State]]))</f>
        <v>0.56756756756756754</v>
      </c>
      <c r="AD44" s="47">
        <f>COUNTIFS([1]!Nurse[Total RN Staff HPRD], "&gt;=0.75", [1]!Nurse[State], State10[[#This Row],[State]])/(COUNTIF([1]!Nurse[State], State10[[#This Row],[State]]))</f>
        <v>0.21621621621621623</v>
      </c>
      <c r="AE44" s="48">
        <f>SUMIF([1]!Nurse[State], State10[[#This Row],[State]], [1]!Nurse[Total RN Hours (w/ Admin, DON)])/SUMIF([1]!Nurse[State], State10[[#This Row],[State]], [1]!Nurse[MDScensus])</f>
        <v>0.5405066492839643</v>
      </c>
      <c r="AF44" s="28">
        <f>RANK(State10[[#This Row],[RN Staff HPRD]], State10[RN Staff HPRD])</f>
        <v>44</v>
      </c>
      <c r="AG44" s="47">
        <f>SUMIF([1]!Nurse[State], State10[[#This Row],[State]], [1]!Nurse[Total Contract Hours])/SUMIF([1]!Nurse[State], State10[[#This Row],[State]], [1]!Nurse[Total Nurse Staff Hours])</f>
        <v>7.0064632036525451E-2</v>
      </c>
      <c r="AH44" s="28">
        <f>RANK(State10[[#This Row],[% Contract]],State10[% Contract])</f>
        <v>20</v>
      </c>
    </row>
    <row r="45" spans="21:39" ht="15" customHeight="1" x14ac:dyDescent="0.2">
      <c r="U45" s="29" t="s">
        <v>230</v>
      </c>
      <c r="V45" s="31">
        <f>SUMIF([1]!Nurse[State], State10[[#This Row],[State]], [1]!Nurse[MDScensus])</f>
        <v>4631.8888888888841</v>
      </c>
      <c r="W45" s="31">
        <f>COUNTIF([1]!Nurse[State], State10[[#This Row],[State]])</f>
        <v>91</v>
      </c>
      <c r="X45" s="30">
        <f>SUMIF([1]!Nurse[State], State10[[#This Row],[State]], [1]!Nurse[Total Nurse Staff Hours])/SUMIF([1]!Nurse[State], State10[[#This Row],[State]], [1]!Nurse[MDScensus])</f>
        <v>3.7718658814498465</v>
      </c>
      <c r="Y45" s="28">
        <f>RANK(State10[[#This Row],[Total Nurse Staff HPRD]], State10[Total Nurse Staff HPRD])</f>
        <v>29</v>
      </c>
      <c r="Z45" s="48" cm="1">
        <f t="array" ref="Z45">SUMPRODUCT(
   ([1]!Nurse[State]=State10[[#This Row],[State]]) *
   ([1]!Nurse[Expected Total Nurse Staff HPRD]) *
   ([1]!Nurse[MDScensus])
 ) /
 SUMIFS([1]!Nurse[MDScensus], [1]!Nurse[State], State10[[#This Row],[State]], [1]!Nurse[Expected Total Nurse Staff HPRD], "&gt;0")</f>
        <v>4.8050186407267867</v>
      </c>
      <c r="AA45" s="47">
        <f>IF(State10[[#This Row],[Expected Total Nurse Staff HPRD]]&lt;&gt;0,
   (State10[[#This Row],[Total Nurse Staff HPRD]] - State10[[#This Row],[Expected Total Nurse Staff HPRD]]) /
   ABS(State10[[#This Row],[Expected Total Nurse Staff HPRD]]),
   "")</f>
        <v>-0.21501534885214721</v>
      </c>
      <c r="AB45" s="47">
        <f>COUNTIFS([1]!Nurse[Total Nurse Staff HPRD], "&gt;=4.1", [1]!Nurse[State], State10[[#This Row],[State]])/(COUNTIF([1]!Nurse[State], State10[[#This Row],[State]]))</f>
        <v>0.23076923076923078</v>
      </c>
      <c r="AC45" s="47">
        <f>COUNTIFS([1]!Nurse[Total Nurse Staff HPRD], "&gt;=3.48", [1]!Nurse[State], State10[[#This Row],[State]])/(COUNTIF([1]!Nurse[State], State10[[#This Row],[State]]))</f>
        <v>0.60439560439560436</v>
      </c>
      <c r="AD45" s="47">
        <f>COUNTIFS([1]!Nurse[Total RN Staff HPRD], "&gt;=0.75", [1]!Nurse[State], State10[[#This Row],[State]])/(COUNTIF([1]!Nurse[State], State10[[#This Row],[State]]))</f>
        <v>0.56043956043956045</v>
      </c>
      <c r="AE45" s="48">
        <f>SUMIF([1]!Nurse[State], State10[[#This Row],[State]], [1]!Nurse[Total RN Hours (w/ Admin, DON)])/SUMIF([1]!Nurse[State], State10[[#This Row],[State]], [1]!Nurse[MDScensus])</f>
        <v>0.80419205027946294</v>
      </c>
      <c r="AF45" s="28">
        <f>RANK(State10[[#This Row],[RN Staff HPRD]], State10[RN Staff HPRD])</f>
        <v>14</v>
      </c>
      <c r="AG45" s="47">
        <f>SUMIF([1]!Nurse[State], State10[[#This Row],[State]], [1]!Nurse[Total Contract Hours])/SUMIF([1]!Nurse[State], State10[[#This Row],[State]], [1]!Nurse[Total Nurse Staff Hours])</f>
        <v>8.6840653740370713E-2</v>
      </c>
      <c r="AH45" s="28">
        <f>RANK(State10[[#This Row],[% Contract]],State10[% Contract])</f>
        <v>15</v>
      </c>
    </row>
    <row r="46" spans="21:39" ht="15" customHeight="1" x14ac:dyDescent="0.2">
      <c r="U46" s="29" t="s">
        <v>229</v>
      </c>
      <c r="V46" s="31">
        <f>SUMIF([1]!Nurse[State], State10[[#This Row],[State]], [1]!Nurse[MDScensus])</f>
        <v>24831.48888888886</v>
      </c>
      <c r="W46" s="31">
        <f>COUNTIF([1]!Nurse[State], State10[[#This Row],[State]])</f>
        <v>302</v>
      </c>
      <c r="X46" s="30">
        <f>SUMIF([1]!Nurse[State], State10[[#This Row],[State]], [1]!Nurse[Total Nurse Staff Hours])/SUMIF([1]!Nurse[State], State10[[#This Row],[State]], [1]!Nurse[MDScensus])</f>
        <v>3.7500221045500455</v>
      </c>
      <c r="Y46" s="28">
        <f>RANK(State10[[#This Row],[Total Nurse Staff HPRD]], State10[Total Nurse Staff HPRD])</f>
        <v>31</v>
      </c>
      <c r="Z46" s="48" cm="1">
        <f t="array" ref="Z46">SUMPRODUCT(
   ([1]!Nurse[State]=State10[[#This Row],[State]]) *
   ([1]!Nurse[Expected Total Nurse Staff HPRD]) *
   ([1]!Nurse[MDScensus])
 ) /
 SUMIFS([1]!Nurse[MDScensus], [1]!Nurse[State], State10[[#This Row],[State]], [1]!Nurse[Expected Total Nurse Staff HPRD], "&gt;0")</f>
        <v>5.1128760353108813</v>
      </c>
      <c r="AA46" s="47">
        <f>IF(State10[[#This Row],[Expected Total Nurse Staff HPRD]]&lt;&gt;0,
   (State10[[#This Row],[Total Nurse Staff HPRD]] - State10[[#This Row],[Expected Total Nurse Staff HPRD]]) /
   ABS(State10[[#This Row],[Expected Total Nurse Staff HPRD]]),
   "")</f>
        <v>-0.26655329042765835</v>
      </c>
      <c r="AB46" s="47">
        <f>COUNTIFS([1]!Nurse[Total Nurse Staff HPRD], "&gt;=4.1", [1]!Nurse[State], State10[[#This Row],[State]])/(COUNTIF([1]!Nurse[State], State10[[#This Row],[State]]))</f>
        <v>0.22185430463576158</v>
      </c>
      <c r="AC46" s="47">
        <f>COUNTIFS([1]!Nurse[Total Nurse Staff HPRD], "&gt;=3.48", [1]!Nurse[State], State10[[#This Row],[State]])/(COUNTIF([1]!Nurse[State], State10[[#This Row],[State]]))</f>
        <v>0.68211920529801329</v>
      </c>
      <c r="AD46" s="47">
        <f>COUNTIFS([1]!Nurse[Total RN Staff HPRD], "&gt;=0.75", [1]!Nurse[State], State10[[#This Row],[State]])/(COUNTIF([1]!Nurse[State], State10[[#This Row],[State]]))</f>
        <v>0.17218543046357615</v>
      </c>
      <c r="AE46" s="48">
        <f>SUMIF([1]!Nurse[State], State10[[#This Row],[State]], [1]!Nurse[Total RN Hours (w/ Admin, DON)])/SUMIF([1]!Nurse[State], State10[[#This Row],[State]], [1]!Nurse[MDScensus])</f>
        <v>0.55589301487269271</v>
      </c>
      <c r="AF46" s="28">
        <f>RANK(State10[[#This Row],[RN Staff HPRD]], State10[RN Staff HPRD])</f>
        <v>42</v>
      </c>
      <c r="AG46" s="47">
        <f>SUMIF([1]!Nurse[State], State10[[#This Row],[State]], [1]!Nurse[Total Contract Hours])/SUMIF([1]!Nurse[State], State10[[#This Row],[State]], [1]!Nurse[Total Nurse Staff Hours])</f>
        <v>4.4265485285562067E-2</v>
      </c>
      <c r="AH46" s="28">
        <f>RANK(State10[[#This Row],[% Contract]],State10[% Contract])</f>
        <v>37</v>
      </c>
    </row>
    <row r="47" spans="21:39" ht="15" customHeight="1" x14ac:dyDescent="0.2">
      <c r="U47" s="29" t="s">
        <v>228</v>
      </c>
      <c r="V47" s="31">
        <f>SUMIF([1]!Nurse[State], State10[[#This Row],[State]], [1]!Nurse[MDScensus])</f>
        <v>87604.655555555451</v>
      </c>
      <c r="W47" s="31">
        <f>COUNTIF([1]!Nurse[State], State10[[#This Row],[State]])</f>
        <v>1169</v>
      </c>
      <c r="X47" s="30">
        <f>SUMIF([1]!Nurse[State], State10[[#This Row],[State]], [1]!Nurse[Total Nurse Staff Hours])/SUMIF([1]!Nurse[State], State10[[#This Row],[State]], [1]!Nurse[MDScensus])</f>
        <v>3.3163878695437163</v>
      </c>
      <c r="Y47" s="28">
        <f>RANK(State10[[#This Row],[Total Nurse Staff HPRD]], State10[Total Nurse Staff HPRD])</f>
        <v>50</v>
      </c>
      <c r="Z47" s="48" cm="1">
        <f t="array" ref="Z47">SUMPRODUCT(
   ([1]!Nurse[State]=State10[[#This Row],[State]]) *
   ([1]!Nurse[Expected Total Nurse Staff HPRD]) *
   ([1]!Nurse[MDScensus])
 ) /
 SUMIFS([1]!Nurse[MDScensus], [1]!Nurse[State], State10[[#This Row],[State]], [1]!Nurse[Expected Total Nurse Staff HPRD], "&gt;0")</f>
        <v>4.8553198848093633</v>
      </c>
      <c r="AA47" s="47">
        <f>IF(State10[[#This Row],[Expected Total Nurse Staff HPRD]]&lt;&gt;0,
   (State10[[#This Row],[Total Nurse Staff HPRD]] - State10[[#This Row],[Expected Total Nurse Staff HPRD]]) /
   ABS(State10[[#This Row],[Expected Total Nurse Staff HPRD]]),
   "")</f>
        <v>-0.31695790427329812</v>
      </c>
      <c r="AB47" s="47">
        <f>COUNTIFS([1]!Nurse[Total Nurse Staff HPRD], "&gt;=4.1", [1]!Nurse[State], State10[[#This Row],[State]])/(COUNTIF([1]!Nurse[State], State10[[#This Row],[State]]))</f>
        <v>9.8374679213002567E-2</v>
      </c>
      <c r="AC47" s="47">
        <f>COUNTIFS([1]!Nurse[Total Nurse Staff HPRD], "&gt;=3.48", [1]!Nurse[State], State10[[#This Row],[State]])/(COUNTIF([1]!Nurse[State], State10[[#This Row],[State]]))</f>
        <v>0.28058169375534647</v>
      </c>
      <c r="AD47" s="47">
        <f>COUNTIFS([1]!Nurse[Total RN Staff HPRD], "&gt;=0.75", [1]!Nurse[State], State10[[#This Row],[State]])/(COUNTIF([1]!Nurse[State], State10[[#This Row],[State]]))</f>
        <v>6.2446535500427718E-2</v>
      </c>
      <c r="AE47" s="48">
        <f>SUMIF([1]!Nurse[State], State10[[#This Row],[State]], [1]!Nurse[Total RN Hours (w/ Admin, DON)])/SUMIF([1]!Nurse[State], State10[[#This Row],[State]], [1]!Nurse[MDScensus])</f>
        <v>0.39423533934459803</v>
      </c>
      <c r="AF47" s="28">
        <f>RANK(State10[[#This Row],[RN Staff HPRD]], State10[RN Staff HPRD])</f>
        <v>49</v>
      </c>
      <c r="AG47" s="47">
        <f>SUMIF([1]!Nurse[State], State10[[#This Row],[State]], [1]!Nurse[Total Contract Hours])/SUMIF([1]!Nurse[State], State10[[#This Row],[State]], [1]!Nurse[Total Nurse Staff Hours])</f>
        <v>2.6962737147078666E-2</v>
      </c>
      <c r="AH47" s="28">
        <f>RANK(State10[[#This Row],[% Contract]],State10[% Contract])</f>
        <v>48</v>
      </c>
    </row>
    <row r="48" spans="21:39" ht="15" customHeight="1" x14ac:dyDescent="0.2">
      <c r="U48" s="29" t="s">
        <v>227</v>
      </c>
      <c r="V48" s="31">
        <f>SUMIF([1]!Nurse[State], State10[[#This Row],[State]], [1]!Nurse[MDScensus])</f>
        <v>5732.8111111111057</v>
      </c>
      <c r="W48" s="31">
        <f>COUNTIF([1]!Nurse[State], State10[[#This Row],[State]])</f>
        <v>97</v>
      </c>
      <c r="X48" s="30">
        <f>SUMIF([1]!Nurse[State], State10[[#This Row],[State]], [1]!Nurse[Total Nurse Staff Hours])/SUMIF([1]!Nurse[State], State10[[#This Row],[State]], [1]!Nurse[MDScensus])</f>
        <v>3.6840217616720863</v>
      </c>
      <c r="Y48" s="28">
        <f>RANK(State10[[#This Row],[Total Nurse Staff HPRD]], State10[Total Nurse Staff HPRD])</f>
        <v>37</v>
      </c>
      <c r="Z48" s="48" cm="1">
        <f t="array" ref="Z48">SUMPRODUCT(
   ([1]!Nurse[State]=State10[[#This Row],[State]]) *
   ([1]!Nurse[Expected Total Nurse Staff HPRD]) *
   ([1]!Nurse[MDScensus])
 ) /
 SUMIFS([1]!Nurse[MDScensus], [1]!Nurse[State], State10[[#This Row],[State]], [1]!Nurse[Expected Total Nurse Staff HPRD], "&gt;0")</f>
        <v>5.1120967624224756</v>
      </c>
      <c r="AA48" s="47">
        <f>IF(State10[[#This Row],[Expected Total Nurse Staff HPRD]]&lt;&gt;0,
   (State10[[#This Row],[Total Nurse Staff HPRD]] - State10[[#This Row],[Expected Total Nurse Staff HPRD]]) /
   ABS(State10[[#This Row],[Expected Total Nurse Staff HPRD]]),
   "")</f>
        <v>-0.27935210680043265</v>
      </c>
      <c r="AB48" s="47">
        <f>COUNTIFS([1]!Nurse[Total Nurse Staff HPRD], "&gt;=4.1", [1]!Nurse[State], State10[[#This Row],[State]])/(COUNTIF([1]!Nurse[State], State10[[#This Row],[State]]))</f>
        <v>0.29896907216494845</v>
      </c>
      <c r="AC48" s="47">
        <f>COUNTIFS([1]!Nurse[Total Nurse Staff HPRD], "&gt;=3.48", [1]!Nurse[State], State10[[#This Row],[State]])/(COUNTIF([1]!Nurse[State], State10[[#This Row],[State]]))</f>
        <v>0.58762886597938147</v>
      </c>
      <c r="AD48" s="47">
        <f>COUNTIFS([1]!Nurse[Total RN Staff HPRD], "&gt;=0.75", [1]!Nurse[State], State10[[#This Row],[State]])/(COUNTIF([1]!Nurse[State], State10[[#This Row],[State]]))</f>
        <v>0.71134020618556704</v>
      </c>
      <c r="AE48" s="48">
        <f>SUMIF([1]!Nurse[State], State10[[#This Row],[State]], [1]!Nurse[Total RN Hours (w/ Admin, DON)])/SUMIF([1]!Nurse[State], State10[[#This Row],[State]], [1]!Nurse[MDScensus])</f>
        <v>1.0112036367653636</v>
      </c>
      <c r="AF48" s="28">
        <f>RANK(State10[[#This Row],[RN Staff HPRD]], State10[RN Staff HPRD])</f>
        <v>7</v>
      </c>
      <c r="AG48" s="47">
        <f>SUMIF([1]!Nurse[State], State10[[#This Row],[State]], [1]!Nurse[Total Contract Hours])/SUMIF([1]!Nurse[State], State10[[#This Row],[State]], [1]!Nurse[Total Nurse Staff Hours])</f>
        <v>2.7941809089445987E-2</v>
      </c>
      <c r="AH48" s="28">
        <f>RANK(State10[[#This Row],[% Contract]],State10[% Contract])</f>
        <v>47</v>
      </c>
    </row>
    <row r="49" spans="21:34" ht="15" customHeight="1" x14ac:dyDescent="0.2">
      <c r="U49" s="29" t="s">
        <v>226</v>
      </c>
      <c r="V49" s="31">
        <f>SUMIF([1]!Nurse[State], State10[[#This Row],[State]], [1]!Nurse[MDScensus])</f>
        <v>28389.588888888793</v>
      </c>
      <c r="W49" s="31">
        <f>COUNTIF([1]!Nurse[State], State10[[#This Row],[State]])</f>
        <v>289</v>
      </c>
      <c r="X49" s="30">
        <f>SUMIF([1]!Nurse[State], State10[[#This Row],[State]], [1]!Nurse[Total Nurse Staff Hours])/SUMIF([1]!Nurse[State], State10[[#This Row],[State]], [1]!Nurse[MDScensus])</f>
        <v>3.4997734224166006</v>
      </c>
      <c r="Y49" s="28">
        <f>RANK(State10[[#This Row],[Total Nurse Staff HPRD]], State10[Total Nurse Staff HPRD])</f>
        <v>47</v>
      </c>
      <c r="Z49" s="48" cm="1">
        <f t="array" ref="Z49">SUMPRODUCT(
   ([1]!Nurse[State]=State10[[#This Row],[State]]) *
   ([1]!Nurse[Expected Total Nurse Staff HPRD]) *
   ([1]!Nurse[MDScensus])
 ) /
 SUMIFS([1]!Nurse[MDScensus], [1]!Nurse[State], State10[[#This Row],[State]], [1]!Nurse[Expected Total Nurse Staff HPRD], "&gt;0")</f>
        <v>5.0037205634105151</v>
      </c>
      <c r="AA49" s="47">
        <f>IF(State10[[#This Row],[Expected Total Nurse Staff HPRD]]&lt;&gt;0,
   (State10[[#This Row],[Total Nurse Staff HPRD]] - State10[[#This Row],[Expected Total Nurse Staff HPRD]]) /
   ABS(State10[[#This Row],[Expected Total Nurse Staff HPRD]]),
   "")</f>
        <v>-0.30056577339499357</v>
      </c>
      <c r="AB49" s="47">
        <f>COUNTIFS([1]!Nurse[Total Nurse Staff HPRD], "&gt;=4.1", [1]!Nurse[State], State10[[#This Row],[State]])/(COUNTIF([1]!Nurse[State], State10[[#This Row],[State]]))</f>
        <v>0.20761245674740483</v>
      </c>
      <c r="AC49" s="47">
        <f>COUNTIFS([1]!Nurse[Total Nurse Staff HPRD], "&gt;=3.48", [1]!Nurse[State], State10[[#This Row],[State]])/(COUNTIF([1]!Nurse[State], State10[[#This Row],[State]]))</f>
        <v>0.44982698961937717</v>
      </c>
      <c r="AD49" s="47">
        <f>COUNTIFS([1]!Nurse[Total RN Staff HPRD], "&gt;=0.75", [1]!Nurse[State], State10[[#This Row],[State]])/(COUNTIF([1]!Nurse[State], State10[[#This Row],[State]]))</f>
        <v>0.23529411764705882</v>
      </c>
      <c r="AE49" s="48">
        <f>SUMIF([1]!Nurse[State], State10[[#This Row],[State]], [1]!Nurse[Total RN Hours (w/ Admin, DON)])/SUMIF([1]!Nurse[State], State10[[#This Row],[State]], [1]!Nurse[MDScensus])</f>
        <v>0.53547256564711032</v>
      </c>
      <c r="AF49" s="28">
        <f>RANK(State10[[#This Row],[RN Staff HPRD]], State10[RN Staff HPRD])</f>
        <v>45</v>
      </c>
      <c r="AG49" s="47">
        <f>SUMIF([1]!Nurse[State], State10[[#This Row],[State]], [1]!Nurse[Total Contract Hours])/SUMIF([1]!Nurse[State], State10[[#This Row],[State]], [1]!Nurse[Total Nurse Staff Hours])</f>
        <v>5.6159245020587008E-2</v>
      </c>
      <c r="AH49" s="28">
        <f>RANK(State10[[#This Row],[% Contract]],State10[% Contract])</f>
        <v>26</v>
      </c>
    </row>
    <row r="50" spans="21:34" ht="15" customHeight="1" x14ac:dyDescent="0.2">
      <c r="U50" s="29" t="s">
        <v>225</v>
      </c>
      <c r="V50" s="31">
        <f>SUMIF([1]!Nurse[State], State10[[#This Row],[State]], [1]!Nurse[MDScensus])</f>
        <v>2423.9666666666617</v>
      </c>
      <c r="W50" s="31">
        <f>COUNTIF([1]!Nurse[State], State10[[#This Row],[State]])</f>
        <v>34</v>
      </c>
      <c r="X50" s="30">
        <f>SUMIF([1]!Nurse[State], State10[[#This Row],[State]], [1]!Nurse[Total Nurse Staff Hours])/SUMIF([1]!Nurse[State], State10[[#This Row],[State]], [1]!Nurse[MDScensus])</f>
        <v>4.0704768584093145</v>
      </c>
      <c r="Y50" s="28">
        <f>RANK(State10[[#This Row],[Total Nurse Staff HPRD]], State10[Total Nurse Staff HPRD])</f>
        <v>11</v>
      </c>
      <c r="Z50" s="48" cm="1">
        <f t="array" ref="Z50">SUMPRODUCT(
   ([1]!Nurse[State]=State10[[#This Row],[State]]) *
   ([1]!Nurse[Expected Total Nurse Staff HPRD]) *
   ([1]!Nurse[MDScensus])
 ) /
 SUMIFS([1]!Nurse[MDScensus], [1]!Nurse[State], State10[[#This Row],[State]], [1]!Nurse[Expected Total Nurse Staff HPRD], "&gt;0")</f>
        <v>4.987541894726621</v>
      </c>
      <c r="AA50" s="47">
        <f>IF(State10[[#This Row],[Expected Total Nurse Staff HPRD]]&lt;&gt;0,
   (State10[[#This Row],[Total Nurse Staff HPRD]] - State10[[#This Row],[Expected Total Nurse Staff HPRD]]) /
   ABS(State10[[#This Row],[Expected Total Nurse Staff HPRD]]),
   "")</f>
        <v>-0.18387114447839101</v>
      </c>
      <c r="AB50" s="47">
        <f>COUNTIFS([1]!Nurse[Total Nurse Staff HPRD], "&gt;=4.1", [1]!Nurse[State], State10[[#This Row],[State]])/(COUNTIF([1]!Nurse[State], State10[[#This Row],[State]]))</f>
        <v>0.41176470588235292</v>
      </c>
      <c r="AC50" s="47">
        <f>COUNTIFS([1]!Nurse[Total Nurse Staff HPRD], "&gt;=3.48", [1]!Nurse[State], State10[[#This Row],[State]])/(COUNTIF([1]!Nurse[State], State10[[#This Row],[State]]))</f>
        <v>0.94117647058823528</v>
      </c>
      <c r="AD50" s="47">
        <f>COUNTIFS([1]!Nurse[Total RN Staff HPRD], "&gt;=0.75", [1]!Nurse[State], State10[[#This Row],[State]])/(COUNTIF([1]!Nurse[State], State10[[#This Row],[State]]))</f>
        <v>0.44117647058823528</v>
      </c>
      <c r="AE50" s="48">
        <f>SUMIF([1]!Nurse[State], State10[[#This Row],[State]], [1]!Nurse[Total RN Hours (w/ Admin, DON)])/SUMIF([1]!Nurse[State], State10[[#This Row],[State]], [1]!Nurse[MDScensus])</f>
        <v>0.77471655734173117</v>
      </c>
      <c r="AF50" s="28">
        <f>RANK(State10[[#This Row],[RN Staff HPRD]], State10[RN Staff HPRD])</f>
        <v>18</v>
      </c>
      <c r="AG50" s="47">
        <f>SUMIF([1]!Nurse[State], State10[[#This Row],[State]], [1]!Nurse[Total Contract Hours])/SUMIF([1]!Nurse[State], State10[[#This Row],[State]], [1]!Nurse[Total Nurse Staff Hours])</f>
        <v>0.23935219274366859</v>
      </c>
      <c r="AH50" s="28">
        <f>RANK(State10[[#This Row],[% Contract]],State10[% Contract])</f>
        <v>1</v>
      </c>
    </row>
    <row r="51" spans="21:34" ht="15" customHeight="1" x14ac:dyDescent="0.2">
      <c r="U51" s="29" t="s">
        <v>224</v>
      </c>
      <c r="V51" s="31">
        <f>SUMIF([1]!Nurse[State], State10[[#This Row],[State]], [1]!Nurse[MDScensus])</f>
        <v>13856.033333333311</v>
      </c>
      <c r="W51" s="31">
        <f>COUNTIF([1]!Nurse[State], State10[[#This Row],[State]])</f>
        <v>189</v>
      </c>
      <c r="X51" s="30">
        <f>SUMIF([1]!Nurse[State], State10[[#This Row],[State]], [1]!Nurse[Total Nurse Staff Hours])/SUMIF([1]!Nurse[State], State10[[#This Row],[State]], [1]!Nurse[MDScensus])</f>
        <v>4.2977239197044552</v>
      </c>
      <c r="Y51" s="28">
        <f>RANK(State10[[#This Row],[Total Nurse Staff HPRD]], State10[Total Nurse Staff HPRD])</f>
        <v>7</v>
      </c>
      <c r="Z51" s="48" cm="1">
        <f t="array" ref="Z51">SUMPRODUCT(
   ([1]!Nurse[State]=State10[[#This Row],[State]]) *
   ([1]!Nurse[Expected Total Nurse Staff HPRD]) *
   ([1]!Nurse[MDScensus])
 ) /
 SUMIFS([1]!Nurse[MDScensus], [1]!Nurse[State], State10[[#This Row],[State]], [1]!Nurse[Expected Total Nurse Staff HPRD], "&gt;0")</f>
        <v>5.0915809536493901</v>
      </c>
      <c r="AA51" s="47">
        <f>IF(State10[[#This Row],[Expected Total Nurse Staff HPRD]]&lt;&gt;0,
   (State10[[#This Row],[Total Nurse Staff HPRD]] - State10[[#This Row],[Expected Total Nurse Staff HPRD]]) /
   ABS(State10[[#This Row],[Expected Total Nurse Staff HPRD]]),
   "")</f>
        <v>-0.15591562643739132</v>
      </c>
      <c r="AB51" s="47">
        <f>COUNTIFS([1]!Nurse[Total Nurse Staff HPRD], "&gt;=4.1", [1]!Nurse[State], State10[[#This Row],[State]])/(COUNTIF([1]!Nurse[State], State10[[#This Row],[State]]))</f>
        <v>0.55026455026455023</v>
      </c>
      <c r="AC51" s="47">
        <f>COUNTIFS([1]!Nurse[Total Nurse Staff HPRD], "&gt;=3.48", [1]!Nurse[State], State10[[#This Row],[State]])/(COUNTIF([1]!Nurse[State], State10[[#This Row],[State]]))</f>
        <v>0.98941798941798942</v>
      </c>
      <c r="AD51" s="47">
        <f>COUNTIFS([1]!Nurse[Total RN Staff HPRD], "&gt;=0.75", [1]!Nurse[State], State10[[#This Row],[State]])/(COUNTIF([1]!Nurse[State], State10[[#This Row],[State]]))</f>
        <v>0.59788359788359791</v>
      </c>
      <c r="AE51" s="48">
        <f>SUMIF([1]!Nurse[State], State10[[#This Row],[State]], [1]!Nurse[Total RN Hours (w/ Admin, DON)])/SUMIF([1]!Nurse[State], State10[[#This Row],[State]], [1]!Nurse[MDScensus])</f>
        <v>0.85218816031203448</v>
      </c>
      <c r="AF51" s="28">
        <f>RANK(State10[[#This Row],[RN Staff HPRD]], State10[RN Staff HPRD])</f>
        <v>12</v>
      </c>
      <c r="AG51" s="47">
        <f>SUMIF([1]!Nurse[State], State10[[#This Row],[State]], [1]!Nurse[Total Contract Hours])/SUMIF([1]!Nurse[State], State10[[#This Row],[State]], [1]!Nurse[Total Nurse Staff Hours])</f>
        <v>5.5648048418910141E-2</v>
      </c>
      <c r="AH51" s="28">
        <f>RANK(State10[[#This Row],[% Contract]],State10[% Contract])</f>
        <v>27</v>
      </c>
    </row>
    <row r="52" spans="21:34" ht="15" customHeight="1" x14ac:dyDescent="0.2">
      <c r="U52" s="29" t="s">
        <v>223</v>
      </c>
      <c r="V52" s="31">
        <f>SUMIF([1]!Nurse[State], State10[[#This Row],[State]], [1]!Nurse[MDScensus])</f>
        <v>17613.044444444415</v>
      </c>
      <c r="W52" s="31">
        <f>COUNTIF([1]!Nurse[State], State10[[#This Row],[State]])</f>
        <v>323</v>
      </c>
      <c r="X52" s="30">
        <f>SUMIF([1]!Nurse[State], State10[[#This Row],[State]], [1]!Nurse[Total Nurse Staff Hours])/SUMIF([1]!Nurse[State], State10[[#This Row],[State]], [1]!Nurse[MDScensus])</f>
        <v>4.0533325994496492</v>
      </c>
      <c r="Y52" s="28">
        <f>RANK(State10[[#This Row],[Total Nurse Staff HPRD]], State10[Total Nurse Staff HPRD])</f>
        <v>12</v>
      </c>
      <c r="Z52" s="48" cm="1">
        <f t="array" ref="Z52">SUMPRODUCT(
   ([1]!Nurse[State]=State10[[#This Row],[State]]) *
   ([1]!Nurse[Expected Total Nurse Staff HPRD]) *
   ([1]!Nurse[MDScensus])
 ) /
 SUMIFS([1]!Nurse[MDScensus], [1]!Nurse[State], State10[[#This Row],[State]], [1]!Nurse[Expected Total Nurse Staff HPRD], "&gt;0")</f>
        <v>5.003956228599689</v>
      </c>
      <c r="AA52" s="47">
        <f>IF(State10[[#This Row],[Expected Total Nurse Staff HPRD]]&lt;&gt;0,
   (State10[[#This Row],[Total Nurse Staff HPRD]] - State10[[#This Row],[Expected Total Nurse Staff HPRD]]) /
   ABS(State10[[#This Row],[Expected Total Nurse Staff HPRD]]),
   "")</f>
        <v>-0.18997440939167909</v>
      </c>
      <c r="AB52" s="47">
        <f>COUNTIFS([1]!Nurse[Total Nurse Staff HPRD], "&gt;=4.1", [1]!Nurse[State], State10[[#This Row],[State]])/(COUNTIF([1]!Nurse[State], State10[[#This Row],[State]]))</f>
        <v>0.43962848297213625</v>
      </c>
      <c r="AC52" s="47">
        <f>COUNTIFS([1]!Nurse[Total Nurse Staff HPRD], "&gt;=3.48", [1]!Nurse[State], State10[[#This Row],[State]])/(COUNTIF([1]!Nurse[State], State10[[#This Row],[State]]))</f>
        <v>0.76160990712074306</v>
      </c>
      <c r="AD52" s="47">
        <f>COUNTIFS([1]!Nurse[Total RN Staff HPRD], "&gt;=0.75", [1]!Nurse[State], State10[[#This Row],[State]])/(COUNTIF([1]!Nurse[State], State10[[#This Row],[State]]))</f>
        <v>0.67801857585139313</v>
      </c>
      <c r="AE52" s="48">
        <f>SUMIF([1]!Nurse[State], State10[[#This Row],[State]], [1]!Nurse[Total RN Hours (w/ Admin, DON)])/SUMIF([1]!Nurse[State], State10[[#This Row],[State]], [1]!Nurse[MDScensus])</f>
        <v>0.92347048967495127</v>
      </c>
      <c r="AF52" s="28">
        <f>RANK(State10[[#This Row],[RN Staff HPRD]], State10[RN Staff HPRD])</f>
        <v>8</v>
      </c>
      <c r="AG52" s="47">
        <f>SUMIF([1]!Nurse[State], State10[[#This Row],[State]], [1]!Nurse[Total Contract Hours])/SUMIF([1]!Nurse[State], State10[[#This Row],[State]], [1]!Nurse[Total Nurse Staff Hours])</f>
        <v>9.3736776996467347E-2</v>
      </c>
      <c r="AH52" s="28">
        <f>RANK(State10[[#This Row],[% Contract]],State10[% Contract])</f>
        <v>12</v>
      </c>
    </row>
    <row r="53" spans="21:34" ht="15" customHeight="1" x14ac:dyDescent="0.2">
      <c r="U53" s="29" t="s">
        <v>222</v>
      </c>
      <c r="V53" s="31">
        <f>SUMIF([1]!Nurse[State], State10[[#This Row],[State]], [1]!Nurse[MDScensus])</f>
        <v>9469.033333333311</v>
      </c>
      <c r="W53" s="31">
        <f>COUNTIF([1]!Nurse[State], State10[[#This Row],[State]])</f>
        <v>121</v>
      </c>
      <c r="X53" s="30">
        <f>SUMIF([1]!Nurse[State], State10[[#This Row],[State]], [1]!Nurse[Total Nurse Staff Hours])/SUMIF([1]!Nurse[State], State10[[#This Row],[State]], [1]!Nurse[MDScensus])</f>
        <v>3.5057814067609883</v>
      </c>
      <c r="Y53" s="28">
        <f>RANK(State10[[#This Row],[Total Nurse Staff HPRD]], State10[Total Nurse Staff HPRD])</f>
        <v>46</v>
      </c>
      <c r="Z53" s="48" cm="1">
        <f t="array" ref="Z53">SUMPRODUCT(
   ([1]!Nurse[State]=State10[[#This Row],[State]]) *
   ([1]!Nurse[Expected Total Nurse Staff HPRD]) *
   ([1]!Nurse[MDScensus])
 ) /
 SUMIFS([1]!Nurse[MDScensus], [1]!Nurse[State], State10[[#This Row],[State]], [1]!Nurse[Expected Total Nurse Staff HPRD], "&gt;0")</f>
        <v>5.0337218223660445</v>
      </c>
      <c r="AA53" s="47">
        <f>IF(State10[[#This Row],[Expected Total Nurse Staff HPRD]]&lt;&gt;0,
   (State10[[#This Row],[Total Nurse Staff HPRD]] - State10[[#This Row],[Expected Total Nurse Staff HPRD]]) /
   ABS(State10[[#This Row],[Expected Total Nurse Staff HPRD]]),
   "")</f>
        <v>-0.30354089270806484</v>
      </c>
      <c r="AB53" s="47">
        <f>COUNTIFS([1]!Nurse[Total Nurse Staff HPRD], "&gt;=4.1", [1]!Nurse[State], State10[[#This Row],[State]])/(COUNTIF([1]!Nurse[State], State10[[#This Row],[State]]))</f>
        <v>0.19834710743801653</v>
      </c>
      <c r="AC53" s="47">
        <f>COUNTIFS([1]!Nurse[Total Nurse Staff HPRD], "&gt;=3.48", [1]!Nurse[State], State10[[#This Row],[State]])/(COUNTIF([1]!Nurse[State], State10[[#This Row],[State]]))</f>
        <v>0.49586776859504134</v>
      </c>
      <c r="AD53" s="47">
        <f>COUNTIFS([1]!Nurse[Total RN Staff HPRD], "&gt;=0.75", [1]!Nurse[State], State10[[#This Row],[State]])/(COUNTIF([1]!Nurse[State], State10[[#This Row],[State]]))</f>
        <v>0.24793388429752067</v>
      </c>
      <c r="AE53" s="48">
        <f>SUMIF([1]!Nurse[State], State10[[#This Row],[State]], [1]!Nurse[Total RN Hours (w/ Admin, DON)])/SUMIF([1]!Nurse[State], State10[[#This Row],[State]], [1]!Nurse[MDScensus])</f>
        <v>0.63425080349630991</v>
      </c>
      <c r="AF53" s="28">
        <f>RANK(State10[[#This Row],[RN Staff HPRD]], State10[RN Staff HPRD])</f>
        <v>33</v>
      </c>
      <c r="AG53" s="47">
        <f>SUMIF([1]!Nurse[State], State10[[#This Row],[State]], [1]!Nurse[Total Contract Hours])/SUMIF([1]!Nurse[State], State10[[#This Row],[State]], [1]!Nurse[Total Nurse Staff Hours])</f>
        <v>5.2318632823104359E-2</v>
      </c>
      <c r="AH53" s="28">
        <f>RANK(State10[[#This Row],[% Contract]],State10[% Contract])</f>
        <v>33</v>
      </c>
    </row>
    <row r="54" spans="21:34" ht="15" customHeight="1" x14ac:dyDescent="0.2">
      <c r="U54" s="29" t="s">
        <v>221</v>
      </c>
      <c r="V54" s="31">
        <f>SUMIF([1]!Nurse[State], State10[[#This Row],[State]], [1]!Nurse[MDScensus])</f>
        <v>1902.9333333333311</v>
      </c>
      <c r="W54" s="31">
        <f>COUNTIF([1]!Nurse[State], State10[[#This Row],[State]])</f>
        <v>32</v>
      </c>
      <c r="X54" s="30">
        <f>SUMIF([1]!Nurse[State], State10[[#This Row],[State]], [1]!Nurse[Total Nurse Staff Hours])/SUMIF([1]!Nurse[State], State10[[#This Row],[State]], [1]!Nurse[MDScensus])</f>
        <v>3.711451151438713</v>
      </c>
      <c r="Y54" s="28">
        <f>RANK(State10[[#This Row],[Total Nurse Staff HPRD]], State10[Total Nurse Staff HPRD])</f>
        <v>34</v>
      </c>
      <c r="Z54" s="48" cm="1">
        <f t="array" ref="Z54">SUMPRODUCT(
   ([1]!Nurse[State]=State10[[#This Row],[State]]) *
   ([1]!Nurse[Expected Total Nurse Staff HPRD]) *
   ([1]!Nurse[MDScensus])
 ) /
 SUMIFS([1]!Nurse[MDScensus], [1]!Nurse[State], State10[[#This Row],[State]], [1]!Nurse[Expected Total Nurse Staff HPRD], "&gt;0")</f>
        <v>4.7731067979857116</v>
      </c>
      <c r="AA54" s="47">
        <f>IF(State10[[#This Row],[Expected Total Nurse Staff HPRD]]&lt;&gt;0,
   (State10[[#This Row],[Total Nurse Staff HPRD]] - State10[[#This Row],[Expected Total Nurse Staff HPRD]]) /
   ABS(State10[[#This Row],[Expected Total Nurse Staff HPRD]]),
   "")</f>
        <v>-0.22242444836872824</v>
      </c>
      <c r="AB54" s="47">
        <f>COUNTIFS([1]!Nurse[Total Nurse Staff HPRD], "&gt;=4.1", [1]!Nurse[State], State10[[#This Row],[State]])/(COUNTIF([1]!Nurse[State], State10[[#This Row],[State]]))</f>
        <v>0.28125</v>
      </c>
      <c r="AC54" s="47">
        <f>COUNTIFS([1]!Nurse[Total Nurse Staff HPRD], "&gt;=3.48", [1]!Nurse[State], State10[[#This Row],[State]])/(COUNTIF([1]!Nurse[State], State10[[#This Row],[State]]))</f>
        <v>0.625</v>
      </c>
      <c r="AD54" s="47">
        <f>COUNTIFS([1]!Nurse[Total RN Staff HPRD], "&gt;=0.75", [1]!Nurse[State], State10[[#This Row],[State]])/(COUNTIF([1]!Nurse[State], State10[[#This Row],[State]]))</f>
        <v>0.53125</v>
      </c>
      <c r="AE54" s="48">
        <f>SUMIF([1]!Nurse[State], State10[[#This Row],[State]], [1]!Nurse[Total RN Hours (w/ Admin, DON)])/SUMIF([1]!Nurse[State], State10[[#This Row],[State]], [1]!Nurse[MDScensus])</f>
        <v>0.8537244254484303</v>
      </c>
      <c r="AF54" s="28">
        <f>RANK(State10[[#This Row],[RN Staff HPRD]], State10[RN Staff HPRD])</f>
        <v>11</v>
      </c>
      <c r="AG54" s="47">
        <f>SUMIF([1]!Nurse[State], State10[[#This Row],[State]], [1]!Nurse[Total Contract Hours])/SUMIF([1]!Nurse[State], State10[[#This Row],[State]], [1]!Nurse[Total Nurse Staff Hours])</f>
        <v>5.379997988477616E-2</v>
      </c>
      <c r="AH54" s="28">
        <f>RANK(State10[[#This Row],[% Contract]],State10[% Contract])</f>
        <v>32</v>
      </c>
    </row>
    <row r="55" spans="21:34" ht="15" customHeight="1" x14ac:dyDescent="0.2"/>
  </sheetData>
  <conditionalFormatting sqref="L3:L12">
    <cfRule type="colorScale" priority="2">
      <colorScale>
        <cfvo type="min"/>
        <cfvo type="num" val="0"/>
        <cfvo type="max"/>
        <color rgb="FFF8696B"/>
        <color rgb="FFFCFCFF"/>
        <color rgb="FF63BE7B"/>
      </colorScale>
    </cfRule>
    <cfRule type="colorScale" priority="4">
      <colorScale>
        <cfvo type="min"/>
        <cfvo type="max"/>
        <color rgb="FFF8696B"/>
        <color rgb="FFFCFCFF"/>
      </colorScale>
    </cfRule>
  </conditionalFormatting>
  <conditionalFormatting sqref="AA3:AA54">
    <cfRule type="colorScale" priority="1">
      <colorScale>
        <cfvo type="min"/>
        <cfvo type="num" val="0"/>
        <cfvo type="max"/>
        <color rgb="FFF8696B"/>
        <color rgb="FFFCFCFF"/>
        <color rgb="FF63BE7B"/>
      </colorScale>
    </cfRule>
    <cfRule type="colorScale" priority="3">
      <colorScale>
        <cfvo type="min"/>
        <cfvo type="max"/>
        <color rgb="FFF8696B"/>
        <color rgb="FFFCFCFF"/>
      </colorScale>
    </cfRule>
  </conditionalFormatting>
  <pageMargins left="0.7" right="0.7" top="0.75" bottom="0.75" header="0.3" footer="0.3"/>
  <pageSetup orientation="portrait" horizontalDpi="300" verticalDpi="300" r:id="rId1"/>
  <drawing r:id="rId2"/>
  <tableParts count="5">
    <tablePart r:id="rId3"/>
    <tablePart r:id="rId4"/>
    <tablePart r:id="rId5"/>
    <tablePart r:id="rId6"/>
    <tablePart r:id="rId7"/>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E915791-C35F-0B45-8926-D1C4FD12A69A}">
  <dimension ref="B2:D27"/>
  <sheetViews>
    <sheetView zoomScale="85" zoomScaleNormal="85" workbookViewId="0">
      <selection activeCell="B58" sqref="B58"/>
    </sheetView>
  </sheetViews>
  <sheetFormatPr baseColWidth="10" defaultColWidth="8.83203125" defaultRowHeight="16" x14ac:dyDescent="0.2"/>
  <cols>
    <col min="1" max="1" width="100.1640625" style="17" customWidth="1"/>
    <col min="2" max="2" width="4.1640625" style="17" customWidth="1"/>
    <col min="3" max="3" width="37.6640625" style="17" customWidth="1"/>
    <col min="4" max="4" width="66.83203125" style="17" customWidth="1"/>
    <col min="5" max="16384" width="8.83203125" style="17"/>
  </cols>
  <sheetData>
    <row r="2" spans="2:4" ht="24" x14ac:dyDescent="0.3">
      <c r="C2" s="24" t="s">
        <v>220</v>
      </c>
      <c r="D2" s="23"/>
    </row>
    <row r="3" spans="2:4" x14ac:dyDescent="0.2">
      <c r="C3" s="27" t="s">
        <v>219</v>
      </c>
      <c r="D3" s="26" t="s">
        <v>218</v>
      </c>
    </row>
    <row r="4" spans="2:4" x14ac:dyDescent="0.2">
      <c r="C4" s="21" t="s">
        <v>197</v>
      </c>
      <c r="D4" s="20" t="s">
        <v>217</v>
      </c>
    </row>
    <row r="5" spans="2:4" x14ac:dyDescent="0.2">
      <c r="C5" s="21" t="s">
        <v>195</v>
      </c>
      <c r="D5" s="20" t="s">
        <v>216</v>
      </c>
    </row>
    <row r="6" spans="2:4" ht="15.75" customHeight="1" x14ac:dyDescent="0.2">
      <c r="C6" s="21" t="s">
        <v>215</v>
      </c>
      <c r="D6" s="20" t="s">
        <v>214</v>
      </c>
    </row>
    <row r="7" spans="2:4" ht="15.75" customHeight="1" x14ac:dyDescent="0.2">
      <c r="C7" s="21" t="s">
        <v>213</v>
      </c>
      <c r="D7" s="20" t="s">
        <v>212</v>
      </c>
    </row>
    <row r="8" spans="2:4" x14ac:dyDescent="0.2">
      <c r="C8" s="21" t="s">
        <v>211</v>
      </c>
      <c r="D8" s="20" t="s">
        <v>210</v>
      </c>
    </row>
    <row r="9" spans="2:4" x14ac:dyDescent="0.2">
      <c r="C9" s="21" t="s">
        <v>209</v>
      </c>
      <c r="D9" s="20" t="s">
        <v>208</v>
      </c>
    </row>
    <row r="10" spans="2:4" x14ac:dyDescent="0.2">
      <c r="B10" s="25"/>
      <c r="C10" s="22" t="s">
        <v>207</v>
      </c>
      <c r="D10" s="21" t="s">
        <v>206</v>
      </c>
    </row>
    <row r="11" spans="2:4" x14ac:dyDescent="0.2">
      <c r="C11" s="21" t="s">
        <v>204</v>
      </c>
      <c r="D11" s="20" t="s">
        <v>203</v>
      </c>
    </row>
    <row r="12" spans="2:4" x14ac:dyDescent="0.2">
      <c r="C12" s="21" t="s">
        <v>202</v>
      </c>
      <c r="D12" s="20" t="s">
        <v>205</v>
      </c>
    </row>
    <row r="13" spans="2:4" x14ac:dyDescent="0.2">
      <c r="C13" s="21" t="s">
        <v>200</v>
      </c>
      <c r="D13" s="20" t="s">
        <v>199</v>
      </c>
    </row>
    <row r="14" spans="2:4" x14ac:dyDescent="0.2">
      <c r="C14" s="21" t="s">
        <v>204</v>
      </c>
      <c r="D14" s="20" t="s">
        <v>203</v>
      </c>
    </row>
    <row r="15" spans="2:4" x14ac:dyDescent="0.2">
      <c r="C15" s="21" t="s">
        <v>202</v>
      </c>
      <c r="D15" s="20" t="s">
        <v>201</v>
      </c>
    </row>
    <row r="16" spans="2:4" x14ac:dyDescent="0.2">
      <c r="C16" s="19" t="s">
        <v>200</v>
      </c>
      <c r="D16" s="18" t="s">
        <v>199</v>
      </c>
    </row>
    <row r="18" spans="3:4" ht="24" x14ac:dyDescent="0.3">
      <c r="C18" s="24" t="s">
        <v>198</v>
      </c>
      <c r="D18" s="23"/>
    </row>
    <row r="19" spans="3:4" x14ac:dyDescent="0.2">
      <c r="C19" s="21" t="s">
        <v>197</v>
      </c>
      <c r="D19" s="20" t="s">
        <v>196</v>
      </c>
    </row>
    <row r="20" spans="3:4" x14ac:dyDescent="0.2">
      <c r="C20" s="21" t="s">
        <v>195</v>
      </c>
      <c r="D20" s="20" t="s">
        <v>194</v>
      </c>
    </row>
    <row r="21" spans="3:4" x14ac:dyDescent="0.2">
      <c r="C21" s="21" t="s">
        <v>193</v>
      </c>
      <c r="D21" s="20" t="s">
        <v>192</v>
      </c>
    </row>
    <row r="22" spans="3:4" x14ac:dyDescent="0.2">
      <c r="C22" s="22" t="s">
        <v>191</v>
      </c>
      <c r="D22" s="21" t="s">
        <v>190</v>
      </c>
    </row>
    <row r="23" spans="3:4" x14ac:dyDescent="0.2">
      <c r="C23" s="21" t="s">
        <v>189</v>
      </c>
      <c r="D23" s="20" t="s">
        <v>188</v>
      </c>
    </row>
    <row r="24" spans="3:4" x14ac:dyDescent="0.2">
      <c r="C24" s="21" t="s">
        <v>187</v>
      </c>
      <c r="D24" s="20" t="s">
        <v>186</v>
      </c>
    </row>
    <row r="25" spans="3:4" x14ac:dyDescent="0.2">
      <c r="C25" s="21" t="s">
        <v>185</v>
      </c>
      <c r="D25" s="20" t="s">
        <v>184</v>
      </c>
    </row>
    <row r="26" spans="3:4" x14ac:dyDescent="0.2">
      <c r="C26" s="21" t="s">
        <v>183</v>
      </c>
      <c r="D26" s="20" t="s">
        <v>182</v>
      </c>
    </row>
    <row r="27" spans="3:4" x14ac:dyDescent="0.2">
      <c r="C27" s="19" t="s">
        <v>181</v>
      </c>
      <c r="D27" s="18" t="s">
        <v>180</v>
      </c>
    </row>
  </sheetData>
  <pageMargins left="0.7" right="0.7" top="0.75" bottom="0.75" header="0.3" footer="0.3"/>
  <pageSetup orientation="portrait" horizontalDpi="300" verticalDpi="300"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9129DBE2DD9EFD4B81439A397942DC8A" ma:contentTypeVersion="19" ma:contentTypeDescription="Create a new document." ma:contentTypeScope="" ma:versionID="3d1a1be3a454c0b5e3a1995cb515e1b0">
  <xsd:schema xmlns:xsd="http://www.w3.org/2001/XMLSchema" xmlns:xs="http://www.w3.org/2001/XMLSchema" xmlns:p="http://schemas.microsoft.com/office/2006/metadata/properties" xmlns:ns1="http://schemas.microsoft.com/sharepoint/v3" xmlns:ns2="821b467c-dfb8-4b22-84bd-4d3765027b35" xmlns:ns3="1e6f2d80-2360-440b-a86f-4e374efa82c3" targetNamespace="http://schemas.microsoft.com/office/2006/metadata/properties" ma:root="true" ma:fieldsID="20ca824cb0e5c45a3d012b0e8ac38205" ns1:_="" ns2:_="" ns3:_="">
    <xsd:import namespace="http://schemas.microsoft.com/sharepoint/v3"/>
    <xsd:import namespace="821b467c-dfb8-4b22-84bd-4d3765027b35"/>
    <xsd:import namespace="1e6f2d80-2360-440b-a86f-4e374efa82c3"/>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3:SharedWithUsers" minOccurs="0"/>
                <xsd:element ref="ns3:SharedWithDetails" minOccurs="0"/>
                <xsd:element ref="ns1:PublishingStartDate" minOccurs="0"/>
                <xsd:element ref="ns1:PublishingExpirationDate" minOccurs="0"/>
                <xsd:element ref="ns2:MediaServiceDateTaken" minOccurs="0"/>
                <xsd:element ref="ns2:MediaLengthInSeconds" minOccurs="0"/>
                <xsd:element ref="ns2:MediaServiceGenerationTime" minOccurs="0"/>
                <xsd:element ref="ns2:MediaServiceEventHashCode" minOccurs="0"/>
                <xsd:element ref="ns2:MediaServiceOCR" minOccurs="0"/>
                <xsd:element ref="ns2:MediaServiceLocation" minOccurs="0"/>
                <xsd:element ref="ns2:lcf76f155ced4ddcb4097134ff3c332f" minOccurs="0"/>
                <xsd:element ref="ns3:TaxCatchAll"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StartDate" ma:index="14" nillable="true" ma:displayName="Scheduling Start Date" ma:description="Scheduling Start Date is a site column created by the Publishing feature. It is used to specify the date and time on which this page will first appear to site visitors." ma:internalName="PublishingStartDate">
      <xsd:simpleType>
        <xsd:restriction base="dms:Unknown"/>
      </xsd:simpleType>
    </xsd:element>
    <xsd:element name="PublishingExpirationDate" ma:index="15" nillable="true" ma:displayName="Scheduling End Date" ma:description="Scheduling End Date is a site column created by the Publishing feature. It is used to specify the date and time on which this page will no longer appear to site visitors." ma:internalName="PublishingExpirationDat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821b467c-dfb8-4b22-84bd-4d3765027b35"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DateTaken" ma:index="16" nillable="true" ma:displayName="MediaServiceDateTaken" ma:hidden="true" ma:internalName="MediaServiceDateTaken" ma:readOnly="true">
      <xsd:simpleType>
        <xsd:restriction base="dms:Text"/>
      </xsd:simpleType>
    </xsd:element>
    <xsd:element name="MediaLengthInSeconds" ma:index="17" nillable="true" ma:displayName="Length (seconds)" ma:internalName="MediaLengthInSeconds" ma:readOnly="true">
      <xsd:simpleType>
        <xsd:restriction base="dms:Unknown"/>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internalName="MediaServiceLocation" ma:readOnly="true">
      <xsd:simpleType>
        <xsd:restriction base="dms:Text"/>
      </xsd:simpleType>
    </xsd:element>
    <xsd:element name="lcf76f155ced4ddcb4097134ff3c332f" ma:index="23" nillable="true" ma:taxonomy="true" ma:internalName="lcf76f155ced4ddcb4097134ff3c332f" ma:taxonomyFieldName="MediaServiceImageTags" ma:displayName="Image Tags" ma:readOnly="false" ma:fieldId="{5cf76f15-5ced-4ddc-b409-7134ff3c332f}" ma:taxonomyMulti="true" ma:sspId="974a1e43-e871-45bc-b1a6-ad45634f008e"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5" nillable="true" ma:displayName="MediaServiceObjectDetectorVersions" ma:hidden="true" ma:indexed="true" ma:internalName="MediaServiceObjectDetectorVersions" ma:readOnly="true">
      <xsd:simpleType>
        <xsd:restriction base="dms:Text"/>
      </xsd:simpleType>
    </xsd:element>
    <xsd:element name="MediaServiceSearchProperties" ma:index="26"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1e6f2d80-2360-440b-a86f-4e374efa82c3"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element name="TaxCatchAll" ma:index="24" nillable="true" ma:displayName="Taxonomy Catch All Column" ma:hidden="true" ma:list="{4e4c48b5-122d-403b-b688-6e74920fb17a}" ma:internalName="TaxCatchAll" ma:showField="CatchAllData" ma:web="1e6f2d80-2360-440b-a86f-4e374efa82c3">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1e6f2d80-2360-440b-a86f-4e374efa82c3" xsi:nil="true"/>
    <PublishingExpirationDate xmlns="http://schemas.microsoft.com/sharepoint/v3" xsi:nil="true"/>
    <lcf76f155ced4ddcb4097134ff3c332f xmlns="821b467c-dfb8-4b22-84bd-4d3765027b35">
      <Terms xmlns="http://schemas.microsoft.com/office/infopath/2007/PartnerControls"/>
    </lcf76f155ced4ddcb4097134ff3c332f>
    <PublishingStartDate xmlns="http://schemas.microsoft.com/sharepoint/v3" xsi:nil="true"/>
  </documentManagement>
</p:properties>
</file>

<file path=customXml/itemProps1.xml><?xml version="1.0" encoding="utf-8"?>
<ds:datastoreItem xmlns:ds="http://schemas.openxmlformats.org/officeDocument/2006/customXml" ds:itemID="{8BD261F2-6519-469C-A44C-2C2C3798CA22}"/>
</file>

<file path=customXml/itemProps2.xml><?xml version="1.0" encoding="utf-8"?>
<ds:datastoreItem xmlns:ds="http://schemas.openxmlformats.org/officeDocument/2006/customXml" ds:itemID="{9AA7D257-AED3-4148-AEED-A904F87BDA12}"/>
</file>

<file path=customXml/itemProps3.xml><?xml version="1.0" encoding="utf-8"?>
<ds:datastoreItem xmlns:ds="http://schemas.openxmlformats.org/officeDocument/2006/customXml" ds:itemID="{7E6E3C7E-B56D-4916-B474-6A44851E8F96}"/>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Worksheets</vt:lpstr>
      </vt:variant>
      <vt:variant>
        <vt:i4>3</vt:i4>
      </vt:variant>
    </vt:vector>
  </HeadingPairs>
  <TitlesOfParts>
    <vt:vector size="3" baseType="lpstr">
      <vt:lpstr>Sheet1</vt:lpstr>
      <vt:lpstr>Summary Data</vt:lpstr>
      <vt:lpstr>Notes &amp; Glossary</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Richard Mollot</dc:creator>
  <cp:lastModifiedBy>Richard Mollot</cp:lastModifiedBy>
  <dcterms:created xsi:type="dcterms:W3CDTF">2025-10-06T15:33:12Z</dcterms:created>
  <dcterms:modified xsi:type="dcterms:W3CDTF">2025-10-06T16:05:50Z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0x0101009129DBE2DD9EFD4B81439A397942DC8A</vt:lpwstr>
  </property>
</Properties>
</file>