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richardmollot/Library/CloudStorage/Dropbox/Documents/MedicareMedicaid/Nursing Home/SNF PBJ Data/SNF PBJ 2025 Q1/"/>
    </mc:Choice>
  </mc:AlternateContent>
  <xr:revisionPtr revIDLastSave="0" documentId="13_ncr:1_{5466E2AF-4968-9446-9992-1EB9A235D814}" xr6:coauthVersionLast="47" xr6:coauthVersionMax="47" xr10:uidLastSave="{00000000-0000-0000-0000-000000000000}"/>
  <bookViews>
    <workbookView xWindow="26300" yWindow="5020" windowWidth="27240" windowHeight="16440" xr2:uid="{90D58182-6AD3-2A49-9095-AF932044C9C4}"/>
  </bookViews>
  <sheets>
    <sheet name="Sheet1" sheetId="1" r:id="rId1"/>
    <sheet name="Summary NonNurse-Region &amp; State" sheetId="4" r:id="rId2"/>
    <sheet name="Notes &amp; Glossary" sheetId="2" r:id="rId3"/>
  </sheets>
  <externalReferences>
    <externalReference r:id="rId4"/>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D3" i="4"/>
  <c r="G3" i="4"/>
  <c r="H3" i="4"/>
  <c r="I3" i="4"/>
  <c r="J3" i="4" s="1"/>
  <c r="K3" i="4"/>
  <c r="L3" i="4" s="1"/>
  <c r="M3" i="4"/>
  <c r="N3" i="4" s="1"/>
  <c r="O3" i="4"/>
  <c r="P3" i="4" s="1"/>
  <c r="Q3" i="4"/>
  <c r="R3" i="4" s="1"/>
  <c r="S3" i="4"/>
  <c r="T3" i="4" s="1"/>
  <c r="W3" i="4"/>
  <c r="X3" i="4"/>
  <c r="Y3" i="4"/>
  <c r="Z3" i="4" s="1"/>
  <c r="AA3" i="4"/>
  <c r="AB3" i="4" s="1"/>
  <c r="AC3" i="4"/>
  <c r="AD3" i="4" s="1"/>
  <c r="AE3" i="4"/>
  <c r="AF3" i="4" s="1"/>
  <c r="AG3" i="4"/>
  <c r="AH3" i="4" s="1"/>
  <c r="AI3" i="4"/>
  <c r="AJ3" i="4" s="1"/>
  <c r="AM3" i="4"/>
  <c r="AN3" i="4" s="1"/>
  <c r="AO3" i="4"/>
  <c r="C4" i="4"/>
  <c r="D4" i="4"/>
  <c r="G4" i="4"/>
  <c r="H4" i="4"/>
  <c r="I4" i="4"/>
  <c r="K4" i="4"/>
  <c r="L4" i="4" s="1"/>
  <c r="M4" i="4"/>
  <c r="O4" i="4"/>
  <c r="Q4" i="4"/>
  <c r="R4" i="4" s="1"/>
  <c r="S4" i="4"/>
  <c r="T4" i="4" s="1"/>
  <c r="W4" i="4"/>
  <c r="X4" i="4"/>
  <c r="Y4" i="4"/>
  <c r="AA4" i="4"/>
  <c r="AB4" i="4" s="1"/>
  <c r="AC4" i="4"/>
  <c r="AD4" i="4" s="1"/>
  <c r="AE4" i="4"/>
  <c r="AF4" i="4" s="1"/>
  <c r="AG4" i="4"/>
  <c r="AI4" i="4"/>
  <c r="AJ4" i="4" s="1"/>
  <c r="AM4" i="4"/>
  <c r="AN4" i="4" s="1"/>
  <c r="AO4" i="4"/>
  <c r="C5" i="4"/>
  <c r="D5" i="4"/>
  <c r="G5" i="4"/>
  <c r="H5" i="4"/>
  <c r="I5" i="4"/>
  <c r="J4" i="4" s="1"/>
  <c r="K5" i="4"/>
  <c r="M5" i="4"/>
  <c r="N4" i="4" s="1"/>
  <c r="O5" i="4"/>
  <c r="P4" i="4" s="1"/>
  <c r="Q5" i="4"/>
  <c r="S5" i="4"/>
  <c r="W5" i="4"/>
  <c r="X5" i="4"/>
  <c r="Y5" i="4"/>
  <c r="Z4" i="4" s="1"/>
  <c r="AA5" i="4"/>
  <c r="AC5" i="4"/>
  <c r="AE5" i="4"/>
  <c r="AF5" i="4" s="1"/>
  <c r="AG5" i="4"/>
  <c r="AH4" i="4" s="1"/>
  <c r="AI5" i="4"/>
  <c r="AM5" i="4"/>
  <c r="AN5" i="4"/>
  <c r="AO5" i="4"/>
  <c r="C6" i="4"/>
  <c r="D6" i="4"/>
  <c r="G6" i="4"/>
  <c r="H6" i="4"/>
  <c r="I6" i="4"/>
  <c r="J6" i="4" s="1"/>
  <c r="K6" i="4"/>
  <c r="L5" i="4" s="1"/>
  <c r="M6" i="4"/>
  <c r="O6" i="4"/>
  <c r="Q6" i="4"/>
  <c r="R6" i="4" s="1"/>
  <c r="S6" i="4"/>
  <c r="T5" i="4" s="1"/>
  <c r="W6" i="4"/>
  <c r="X6" i="4"/>
  <c r="Y6" i="4"/>
  <c r="Z6" i="4" s="1"/>
  <c r="AA6" i="4"/>
  <c r="AB6" i="4" s="1"/>
  <c r="AC6" i="4"/>
  <c r="AD5" i="4" s="1"/>
  <c r="AE6" i="4"/>
  <c r="AG6" i="4"/>
  <c r="AH6" i="4" s="1"/>
  <c r="AI6" i="4"/>
  <c r="AJ6" i="4" s="1"/>
  <c r="AM6" i="4"/>
  <c r="AN6" i="4" s="1"/>
  <c r="AO6" i="4"/>
  <c r="C7" i="4"/>
  <c r="D7" i="4"/>
  <c r="G7" i="4"/>
  <c r="H7" i="4"/>
  <c r="I7" i="4"/>
  <c r="K7" i="4"/>
  <c r="M7" i="4"/>
  <c r="N6" i="4" s="1"/>
  <c r="O7" i="4"/>
  <c r="Q7" i="4"/>
  <c r="S7" i="4"/>
  <c r="W7" i="4"/>
  <c r="X7" i="4"/>
  <c r="Y7" i="4"/>
  <c r="AA7" i="4"/>
  <c r="AC7" i="4"/>
  <c r="AE7" i="4"/>
  <c r="AF6" i="4" s="1"/>
  <c r="AG7" i="4"/>
  <c r="AH7" i="4" s="1"/>
  <c r="AI7" i="4"/>
  <c r="AM7" i="4"/>
  <c r="AN7" i="4"/>
  <c r="AO7" i="4"/>
  <c r="C8" i="4"/>
  <c r="D8" i="4"/>
  <c r="G8" i="4"/>
  <c r="H8" i="4"/>
  <c r="I8" i="4"/>
  <c r="J7" i="4" s="1"/>
  <c r="K8" i="4"/>
  <c r="L8" i="4"/>
  <c r="M8" i="4"/>
  <c r="O8" i="4"/>
  <c r="P8" i="4" s="1"/>
  <c r="Q8" i="4"/>
  <c r="R7" i="4" s="1"/>
  <c r="S8" i="4"/>
  <c r="W8" i="4"/>
  <c r="X8" i="4"/>
  <c r="Y8" i="4"/>
  <c r="Z8" i="4" s="1"/>
  <c r="AA8" i="4"/>
  <c r="AB7" i="4" s="1"/>
  <c r="AC8" i="4"/>
  <c r="AE8" i="4"/>
  <c r="AG8" i="4"/>
  <c r="AH8" i="4" s="1"/>
  <c r="AI8" i="4"/>
  <c r="AJ7" i="4" s="1"/>
  <c r="AM8" i="4"/>
  <c r="AN8" i="4"/>
  <c r="AO8" i="4"/>
  <c r="G9" i="4"/>
  <c r="H9" i="4"/>
  <c r="I9" i="4"/>
  <c r="J9" i="4"/>
  <c r="K9" i="4"/>
  <c r="M9" i="4"/>
  <c r="N9" i="4" s="1"/>
  <c r="O9" i="4"/>
  <c r="P9" i="4" s="1"/>
  <c r="Q9" i="4"/>
  <c r="R9" i="4"/>
  <c r="S9" i="4"/>
  <c r="W9" i="4"/>
  <c r="X9" i="4"/>
  <c r="Y9" i="4"/>
  <c r="Z9" i="4" s="1"/>
  <c r="AA9" i="4"/>
  <c r="AC9" i="4"/>
  <c r="AE9" i="4"/>
  <c r="AF14" i="4" s="1"/>
  <c r="AG9" i="4"/>
  <c r="AH9" i="4" s="1"/>
  <c r="AI9" i="4"/>
  <c r="AM9" i="4"/>
  <c r="AN9" i="4"/>
  <c r="AO9" i="4"/>
  <c r="C10" i="4"/>
  <c r="G10" i="4"/>
  <c r="H10" i="4"/>
  <c r="I10" i="4"/>
  <c r="J10" i="4"/>
  <c r="K10" i="4"/>
  <c r="M10" i="4"/>
  <c r="N10" i="4" s="1"/>
  <c r="O10" i="4"/>
  <c r="P10" i="4" s="1"/>
  <c r="Q10" i="4"/>
  <c r="R10" i="4"/>
  <c r="S10" i="4"/>
  <c r="W10" i="4"/>
  <c r="X10" i="4"/>
  <c r="Y10" i="4"/>
  <c r="Z10" i="4" s="1"/>
  <c r="AA10" i="4"/>
  <c r="AC10" i="4"/>
  <c r="AE10" i="4"/>
  <c r="AF10" i="4" s="1"/>
  <c r="AG10" i="4"/>
  <c r="AH10" i="4" s="1"/>
  <c r="AI10" i="4"/>
  <c r="AM10" i="4"/>
  <c r="AN10" i="4"/>
  <c r="AO10" i="4"/>
  <c r="C11" i="4"/>
  <c r="G11" i="4"/>
  <c r="H11" i="4"/>
  <c r="I11" i="4"/>
  <c r="J11" i="4"/>
  <c r="K11" i="4"/>
  <c r="L9" i="4" s="1"/>
  <c r="M11" i="4"/>
  <c r="N11" i="4" s="1"/>
  <c r="O11" i="4"/>
  <c r="P11" i="4" s="1"/>
  <c r="Q11" i="4"/>
  <c r="R11" i="4"/>
  <c r="S11" i="4"/>
  <c r="T10" i="4" s="1"/>
  <c r="W11" i="4"/>
  <c r="X11" i="4"/>
  <c r="Y11" i="4"/>
  <c r="Z11" i="4" s="1"/>
  <c r="AA11" i="4"/>
  <c r="AC11" i="4"/>
  <c r="AD11" i="4" s="1"/>
  <c r="AE11" i="4"/>
  <c r="AF11" i="4" s="1"/>
  <c r="AG11" i="4"/>
  <c r="AH11" i="4" s="1"/>
  <c r="AI11" i="4"/>
  <c r="AM11" i="4"/>
  <c r="AN11" i="4" s="1"/>
  <c r="AO11" i="4"/>
  <c r="C12" i="4"/>
  <c r="G12" i="4"/>
  <c r="H12" i="4"/>
  <c r="I12" i="4"/>
  <c r="J12" i="4"/>
  <c r="K12" i="4"/>
  <c r="L10" i="4" s="1"/>
  <c r="M12" i="4"/>
  <c r="N12" i="4" s="1"/>
  <c r="O12" i="4"/>
  <c r="P12" i="4" s="1"/>
  <c r="Q12" i="4"/>
  <c r="R12" i="4"/>
  <c r="S12" i="4"/>
  <c r="T11" i="4" s="1"/>
  <c r="W12" i="4"/>
  <c r="X12" i="4"/>
  <c r="Y12" i="4"/>
  <c r="Z12" i="4" s="1"/>
  <c r="AA12" i="4"/>
  <c r="AC12" i="4"/>
  <c r="AD12" i="4" s="1"/>
  <c r="AE12" i="4"/>
  <c r="AF15" i="4" s="1"/>
  <c r="AG12" i="4"/>
  <c r="AH12" i="4" s="1"/>
  <c r="AI12" i="4"/>
  <c r="AM12" i="4"/>
  <c r="AN12" i="4" s="1"/>
  <c r="AO12" i="4"/>
  <c r="C13" i="4"/>
  <c r="W13" i="4"/>
  <c r="X13" i="4"/>
  <c r="Y13" i="4"/>
  <c r="AA13" i="4"/>
  <c r="AB13" i="4" s="1"/>
  <c r="AC13" i="4"/>
  <c r="AD16" i="4" s="1"/>
  <c r="AE13" i="4"/>
  <c r="AF13" i="4" s="1"/>
  <c r="AG13" i="4"/>
  <c r="AI13" i="4"/>
  <c r="AJ13" i="4" s="1"/>
  <c r="AM13" i="4"/>
  <c r="AN13" i="4" s="1"/>
  <c r="AO13" i="4"/>
  <c r="W14" i="4"/>
  <c r="X14" i="4"/>
  <c r="Y14" i="4"/>
  <c r="Z13" i="4" s="1"/>
  <c r="AA14" i="4"/>
  <c r="AC14" i="4"/>
  <c r="AE14" i="4"/>
  <c r="AG14" i="4"/>
  <c r="AH13" i="4" s="1"/>
  <c r="AI14" i="4"/>
  <c r="AM14" i="4"/>
  <c r="AN14" i="4"/>
  <c r="AO14" i="4"/>
  <c r="W15" i="4"/>
  <c r="X15" i="4"/>
  <c r="Y15" i="4"/>
  <c r="Z15" i="4" s="1"/>
  <c r="AA15" i="4"/>
  <c r="AB18" i="4" s="1"/>
  <c r="AC15" i="4"/>
  <c r="AD15" i="4" s="1"/>
  <c r="AE15" i="4"/>
  <c r="AG15" i="4"/>
  <c r="AH15" i="4" s="1"/>
  <c r="AI15" i="4"/>
  <c r="AJ9" i="4" s="1"/>
  <c r="AM15" i="4"/>
  <c r="AN15" i="4" s="1"/>
  <c r="AO15" i="4"/>
  <c r="W16" i="4"/>
  <c r="X16" i="4"/>
  <c r="Y16" i="4"/>
  <c r="AA16" i="4"/>
  <c r="AC16" i="4"/>
  <c r="AE16" i="4"/>
  <c r="AF16" i="4" s="1"/>
  <c r="AG16" i="4"/>
  <c r="AI16" i="4"/>
  <c r="AM16" i="4"/>
  <c r="AN16" i="4" s="1"/>
  <c r="AO16" i="4"/>
  <c r="W17" i="4"/>
  <c r="X17" i="4"/>
  <c r="Y17" i="4"/>
  <c r="Z16" i="4" s="1"/>
  <c r="AA17" i="4"/>
  <c r="AB17" i="4" s="1"/>
  <c r="AC17" i="4"/>
  <c r="AE17" i="4"/>
  <c r="AF17" i="4" s="1"/>
  <c r="AG17" i="4"/>
  <c r="AH16" i="4" s="1"/>
  <c r="AI17" i="4"/>
  <c r="AJ17" i="4" s="1"/>
  <c r="AM17" i="4"/>
  <c r="AN17" i="4" s="1"/>
  <c r="AO17" i="4"/>
  <c r="W18" i="4"/>
  <c r="X18" i="4"/>
  <c r="Y18" i="4"/>
  <c r="AA18" i="4"/>
  <c r="AC18" i="4"/>
  <c r="AD18" i="4" s="1"/>
  <c r="AE18" i="4"/>
  <c r="AG18" i="4"/>
  <c r="AI18" i="4"/>
  <c r="AJ18" i="4" s="1"/>
  <c r="AM18" i="4"/>
  <c r="AN18" i="4" s="1"/>
  <c r="AO18" i="4"/>
  <c r="W19" i="4"/>
  <c r="X19" i="4"/>
  <c r="Y19" i="4"/>
  <c r="Z19" i="4" s="1"/>
  <c r="AA19" i="4"/>
  <c r="AB19" i="4" s="1"/>
  <c r="AC19" i="4"/>
  <c r="AD19" i="4" s="1"/>
  <c r="AE19" i="4"/>
  <c r="AF18" i="4" s="1"/>
  <c r="AG19" i="4"/>
  <c r="AH19" i="4" s="1"/>
  <c r="AI19" i="4"/>
  <c r="AJ19" i="4" s="1"/>
  <c r="AM19" i="4"/>
  <c r="AN19" i="4" s="1"/>
  <c r="AO19" i="4"/>
  <c r="W20" i="4"/>
  <c r="X20" i="4"/>
  <c r="Y20" i="4"/>
  <c r="AA20" i="4"/>
  <c r="AC20" i="4"/>
  <c r="AE20" i="4"/>
  <c r="AG20" i="4"/>
  <c r="AH20" i="4" s="1"/>
  <c r="AI20" i="4"/>
  <c r="AM20" i="4"/>
  <c r="AN20" i="4"/>
  <c r="AO20" i="4"/>
  <c r="W21" i="4"/>
  <c r="X21" i="4"/>
  <c r="Y21" i="4"/>
  <c r="Z20" i="4" s="1"/>
  <c r="AA21" i="4"/>
  <c r="AB21" i="4" s="1"/>
  <c r="AC21" i="4"/>
  <c r="AD20" i="4" s="1"/>
  <c r="AE21" i="4"/>
  <c r="AG21" i="4"/>
  <c r="AH21" i="4" s="1"/>
  <c r="AI21" i="4"/>
  <c r="AJ21" i="4" s="1"/>
  <c r="AM21" i="4"/>
  <c r="AN21" i="4" s="1"/>
  <c r="AO21" i="4"/>
  <c r="W22" i="4"/>
  <c r="X22" i="4"/>
  <c r="Y22" i="4"/>
  <c r="AA22" i="4"/>
  <c r="AC22" i="4"/>
  <c r="AE22" i="4"/>
  <c r="AF22" i="4" s="1"/>
  <c r="AG22" i="4"/>
  <c r="AI22" i="4"/>
  <c r="AM22" i="4"/>
  <c r="AN22" i="4"/>
  <c r="AO22" i="4"/>
  <c r="W23" i="4"/>
  <c r="X23" i="4"/>
  <c r="Y23" i="4"/>
  <c r="Z22" i="4" s="1"/>
  <c r="AA23" i="4"/>
  <c r="AB22" i="4" s="1"/>
  <c r="AC23" i="4"/>
  <c r="AE23" i="4"/>
  <c r="AF23" i="4" s="1"/>
  <c r="AG23" i="4"/>
  <c r="AH23" i="4" s="1"/>
  <c r="AI23" i="4"/>
  <c r="AJ22" i="4" s="1"/>
  <c r="AM23" i="4"/>
  <c r="AN23" i="4"/>
  <c r="AO23" i="4"/>
  <c r="W24" i="4"/>
  <c r="X24" i="4"/>
  <c r="Y24" i="4"/>
  <c r="AA24" i="4"/>
  <c r="AC24" i="4"/>
  <c r="AD26" i="4" s="1"/>
  <c r="AE24" i="4"/>
  <c r="AG24" i="4"/>
  <c r="AI24" i="4"/>
  <c r="AM24" i="4"/>
  <c r="AN24" i="4" s="1"/>
  <c r="AO24" i="4"/>
  <c r="W25" i="4"/>
  <c r="X25" i="4"/>
  <c r="Y25" i="4"/>
  <c r="Z24" i="4" s="1"/>
  <c r="AA25" i="4"/>
  <c r="AC25" i="4"/>
  <c r="AD24" i="4" s="1"/>
  <c r="AE25" i="4"/>
  <c r="AF25" i="4" s="1"/>
  <c r="AG25" i="4"/>
  <c r="AH25" i="4" s="1"/>
  <c r="AI25" i="4"/>
  <c r="AM25" i="4"/>
  <c r="AN25" i="4" s="1"/>
  <c r="AO25" i="4"/>
  <c r="W26" i="4"/>
  <c r="X26" i="4"/>
  <c r="Y26" i="4"/>
  <c r="AA26" i="4"/>
  <c r="AB30" i="4" s="1"/>
  <c r="AC26" i="4"/>
  <c r="AE26" i="4"/>
  <c r="AG26" i="4"/>
  <c r="AH26" i="4" s="1"/>
  <c r="AI26" i="4"/>
  <c r="AJ30" i="4" s="1"/>
  <c r="AM26" i="4"/>
  <c r="AN26" i="4"/>
  <c r="AO26" i="4"/>
  <c r="W27" i="4"/>
  <c r="X27" i="4"/>
  <c r="Y27" i="4"/>
  <c r="Z26" i="4" s="1"/>
  <c r="AA27" i="4"/>
  <c r="AB26" i="4" s="1"/>
  <c r="AC27" i="4"/>
  <c r="AD27" i="4" s="1"/>
  <c r="AE27" i="4"/>
  <c r="AG27" i="4"/>
  <c r="AI27" i="4"/>
  <c r="AJ26" i="4" s="1"/>
  <c r="AM27" i="4"/>
  <c r="AN27" i="4" s="1"/>
  <c r="AO27" i="4"/>
  <c r="W28" i="4"/>
  <c r="X28" i="4"/>
  <c r="Y28" i="4"/>
  <c r="Z34" i="4" s="1"/>
  <c r="AA28" i="4"/>
  <c r="AC28" i="4"/>
  <c r="AE28" i="4"/>
  <c r="AF28" i="4" s="1"/>
  <c r="AG28" i="4"/>
  <c r="AH34" i="4" s="1"/>
  <c r="AI28" i="4"/>
  <c r="AM28" i="4"/>
  <c r="AN28" i="4"/>
  <c r="AO28" i="4"/>
  <c r="W29" i="4"/>
  <c r="X29" i="4"/>
  <c r="Y29" i="4"/>
  <c r="Z28" i="4" s="1"/>
  <c r="AA29" i="4"/>
  <c r="AB28" i="4" s="1"/>
  <c r="AC29" i="4"/>
  <c r="AE29" i="4"/>
  <c r="AG29" i="4"/>
  <c r="AH28" i="4" s="1"/>
  <c r="AI29" i="4"/>
  <c r="AJ28" i="4" s="1"/>
  <c r="AM29" i="4"/>
  <c r="AN29" i="4"/>
  <c r="AO29" i="4"/>
  <c r="W30" i="4"/>
  <c r="X30" i="4"/>
  <c r="Y30" i="4"/>
  <c r="AA30" i="4"/>
  <c r="AC30" i="4"/>
  <c r="AD30" i="4" s="1"/>
  <c r="AE30" i="4"/>
  <c r="AF33" i="4" s="1"/>
  <c r="AG30" i="4"/>
  <c r="AI30" i="4"/>
  <c r="AM30" i="4"/>
  <c r="AN30" i="4" s="1"/>
  <c r="AO30" i="4"/>
  <c r="W31" i="4"/>
  <c r="X31" i="4"/>
  <c r="Y31" i="4"/>
  <c r="Z30" i="4" s="1"/>
  <c r="AA31" i="4"/>
  <c r="AC31" i="4"/>
  <c r="AE31" i="4"/>
  <c r="AF31" i="4" s="1"/>
  <c r="AG31" i="4"/>
  <c r="AH30" i="4" s="1"/>
  <c r="AI31" i="4"/>
  <c r="W32" i="4"/>
  <c r="X32" i="4"/>
  <c r="Y32" i="4"/>
  <c r="Z32" i="4" s="1"/>
  <c r="AA32" i="4"/>
  <c r="AB32" i="4" s="1"/>
  <c r="AC32" i="4"/>
  <c r="AE32" i="4"/>
  <c r="AG32" i="4"/>
  <c r="AH32" i="4" s="1"/>
  <c r="AI32" i="4"/>
  <c r="AJ32" i="4" s="1"/>
  <c r="W33" i="4"/>
  <c r="X33" i="4"/>
  <c r="Y33" i="4"/>
  <c r="AA33" i="4"/>
  <c r="AB33" i="4" s="1"/>
  <c r="AC33" i="4"/>
  <c r="AD33" i="4" s="1"/>
  <c r="AE33" i="4"/>
  <c r="AG33" i="4"/>
  <c r="AI33" i="4"/>
  <c r="AJ33" i="4" s="1"/>
  <c r="W34" i="4"/>
  <c r="X34" i="4"/>
  <c r="Y34" i="4"/>
  <c r="AA34" i="4"/>
  <c r="AC34" i="4"/>
  <c r="AD34" i="4" s="1"/>
  <c r="AE34" i="4"/>
  <c r="AF34" i="4" s="1"/>
  <c r="AG34" i="4"/>
  <c r="AI34" i="4"/>
  <c r="W35" i="4"/>
  <c r="X35" i="4"/>
  <c r="Y35" i="4"/>
  <c r="Z35" i="4" s="1"/>
  <c r="AA35" i="4"/>
  <c r="AB35" i="4" s="1"/>
  <c r="AC35" i="4"/>
  <c r="AE35" i="4"/>
  <c r="AF35" i="4" s="1"/>
  <c r="AG35" i="4"/>
  <c r="AH35" i="4" s="1"/>
  <c r="AI35" i="4"/>
  <c r="W36" i="4"/>
  <c r="X36" i="4"/>
  <c r="Y36" i="4"/>
  <c r="Z36" i="4" s="1"/>
  <c r="AA36" i="4"/>
  <c r="AB36" i="4" s="1"/>
  <c r="AC36" i="4"/>
  <c r="AD36" i="4" s="1"/>
  <c r="AE36" i="4"/>
  <c r="AG36" i="4"/>
  <c r="AH36" i="4" s="1"/>
  <c r="AI36" i="4"/>
  <c r="AJ36" i="4" s="1"/>
  <c r="W37" i="4"/>
  <c r="X37" i="4"/>
  <c r="Y37" i="4"/>
  <c r="AA37" i="4"/>
  <c r="AB37" i="4" s="1"/>
  <c r="AC37" i="4"/>
  <c r="AD37" i="4" s="1"/>
  <c r="AE37" i="4"/>
  <c r="AF37" i="4" s="1"/>
  <c r="AG37" i="4"/>
  <c r="AI37" i="4"/>
  <c r="AJ37" i="4" s="1"/>
  <c r="W38" i="4"/>
  <c r="X38" i="4"/>
  <c r="Y38" i="4"/>
  <c r="Z38" i="4" s="1"/>
  <c r="AA38" i="4"/>
  <c r="AC38" i="4"/>
  <c r="AD38" i="4" s="1"/>
  <c r="AE38" i="4"/>
  <c r="AF38" i="4" s="1"/>
  <c r="AG38" i="4"/>
  <c r="AH38" i="4" s="1"/>
  <c r="AI38" i="4"/>
  <c r="W39" i="4"/>
  <c r="X39" i="4"/>
  <c r="Y39" i="4"/>
  <c r="Z39" i="4" s="1"/>
  <c r="AA39" i="4"/>
  <c r="AB39" i="4" s="1"/>
  <c r="AC39" i="4"/>
  <c r="AE39" i="4"/>
  <c r="AF39" i="4" s="1"/>
  <c r="AG39" i="4"/>
  <c r="AH39" i="4" s="1"/>
  <c r="AI39" i="4"/>
  <c r="AJ39" i="4" s="1"/>
  <c r="W40" i="4"/>
  <c r="X40" i="4"/>
  <c r="Y40" i="4"/>
  <c r="Z40" i="4" s="1"/>
  <c r="AA40" i="4"/>
  <c r="AB40" i="4" s="1"/>
  <c r="AC40" i="4"/>
  <c r="AD40" i="4" s="1"/>
  <c r="AE40" i="4"/>
  <c r="AG40" i="4"/>
  <c r="AH40" i="4" s="1"/>
  <c r="AI40" i="4"/>
  <c r="AJ40" i="4" s="1"/>
  <c r="W41" i="4"/>
  <c r="X41" i="4"/>
  <c r="Y41" i="4"/>
  <c r="Z41" i="4" s="1"/>
  <c r="AA41" i="4"/>
  <c r="AB41" i="4" s="1"/>
  <c r="AC41" i="4"/>
  <c r="AD41" i="4" s="1"/>
  <c r="AE41" i="4"/>
  <c r="AF41" i="4" s="1"/>
  <c r="AG41" i="4"/>
  <c r="AH41" i="4" s="1"/>
  <c r="AI41" i="4"/>
  <c r="AJ41" i="4" s="1"/>
  <c r="W42" i="4"/>
  <c r="X42" i="4"/>
  <c r="Y42" i="4"/>
  <c r="Z42" i="4" s="1"/>
  <c r="AA42" i="4"/>
  <c r="AB42" i="4" s="1"/>
  <c r="AC42" i="4"/>
  <c r="AD42" i="4" s="1"/>
  <c r="AE42" i="4"/>
  <c r="AF42" i="4" s="1"/>
  <c r="AG42" i="4"/>
  <c r="AH42" i="4" s="1"/>
  <c r="AI42" i="4"/>
  <c r="AJ42" i="4" s="1"/>
  <c r="W43" i="4"/>
  <c r="X43" i="4"/>
  <c r="Y43" i="4"/>
  <c r="Z43" i="4" s="1"/>
  <c r="AA43" i="4"/>
  <c r="AB43" i="4" s="1"/>
  <c r="AC43" i="4"/>
  <c r="AD43" i="4" s="1"/>
  <c r="AE43" i="4"/>
  <c r="AF43" i="4" s="1"/>
  <c r="AG43" i="4"/>
  <c r="AH43" i="4" s="1"/>
  <c r="AI43" i="4"/>
  <c r="AJ43" i="4" s="1"/>
  <c r="W44" i="4"/>
  <c r="X44" i="4"/>
  <c r="Y44" i="4"/>
  <c r="Z44" i="4" s="1"/>
  <c r="AA44" i="4"/>
  <c r="AB44" i="4" s="1"/>
  <c r="AC44" i="4"/>
  <c r="AD44" i="4" s="1"/>
  <c r="AE44" i="4"/>
  <c r="AF44" i="4" s="1"/>
  <c r="AG44" i="4"/>
  <c r="AH44" i="4" s="1"/>
  <c r="AI44" i="4"/>
  <c r="AJ44" i="4" s="1"/>
  <c r="W45" i="4"/>
  <c r="X45" i="4"/>
  <c r="Y45" i="4"/>
  <c r="Z45" i="4" s="1"/>
  <c r="AA45" i="4"/>
  <c r="AB45" i="4" s="1"/>
  <c r="AC45" i="4"/>
  <c r="AD45" i="4" s="1"/>
  <c r="AE45" i="4"/>
  <c r="AF45" i="4" s="1"/>
  <c r="AG45" i="4"/>
  <c r="AH45" i="4" s="1"/>
  <c r="AI45" i="4"/>
  <c r="AJ45" i="4" s="1"/>
  <c r="W46" i="4"/>
  <c r="X46" i="4"/>
  <c r="Y46" i="4"/>
  <c r="Z46" i="4" s="1"/>
  <c r="AA46" i="4"/>
  <c r="AB46" i="4" s="1"/>
  <c r="AC46" i="4"/>
  <c r="AD46" i="4" s="1"/>
  <c r="AE46" i="4"/>
  <c r="AF46" i="4" s="1"/>
  <c r="AG46" i="4"/>
  <c r="AH46" i="4" s="1"/>
  <c r="AI46" i="4"/>
  <c r="AJ46" i="4" s="1"/>
  <c r="W47" i="4"/>
  <c r="X47" i="4"/>
  <c r="Y47" i="4"/>
  <c r="Z47" i="4" s="1"/>
  <c r="AA47" i="4"/>
  <c r="AB47" i="4" s="1"/>
  <c r="AC47" i="4"/>
  <c r="AD47" i="4" s="1"/>
  <c r="AE47" i="4"/>
  <c r="AF47" i="4" s="1"/>
  <c r="AG47" i="4"/>
  <c r="AH47" i="4" s="1"/>
  <c r="AI47" i="4"/>
  <c r="AJ47" i="4" s="1"/>
  <c r="W48" i="4"/>
  <c r="X48" i="4"/>
  <c r="Y48" i="4"/>
  <c r="Z48" i="4" s="1"/>
  <c r="AA48" i="4"/>
  <c r="AB48" i="4" s="1"/>
  <c r="AC48" i="4"/>
  <c r="AD48" i="4" s="1"/>
  <c r="AE48" i="4"/>
  <c r="AF48" i="4" s="1"/>
  <c r="AG48" i="4"/>
  <c r="AH48" i="4" s="1"/>
  <c r="AI48" i="4"/>
  <c r="AJ48" i="4" s="1"/>
  <c r="W49" i="4"/>
  <c r="X49" i="4"/>
  <c r="Y49" i="4"/>
  <c r="Z49" i="4" s="1"/>
  <c r="AA49" i="4"/>
  <c r="AB49" i="4" s="1"/>
  <c r="AC49" i="4"/>
  <c r="AD49" i="4" s="1"/>
  <c r="AE49" i="4"/>
  <c r="AF49" i="4" s="1"/>
  <c r="AG49" i="4"/>
  <c r="AH49" i="4" s="1"/>
  <c r="AI49" i="4"/>
  <c r="AJ49" i="4" s="1"/>
  <c r="W50" i="4"/>
  <c r="X50" i="4"/>
  <c r="Y50" i="4"/>
  <c r="Z50" i="4" s="1"/>
  <c r="AA50" i="4"/>
  <c r="AB50" i="4" s="1"/>
  <c r="AC50" i="4"/>
  <c r="AD50" i="4" s="1"/>
  <c r="AE50" i="4"/>
  <c r="AF50" i="4" s="1"/>
  <c r="AG50" i="4"/>
  <c r="AH50" i="4" s="1"/>
  <c r="AI50" i="4"/>
  <c r="AJ50" i="4" s="1"/>
  <c r="W51" i="4"/>
  <c r="X51" i="4"/>
  <c r="Y51" i="4"/>
  <c r="Z51" i="4" s="1"/>
  <c r="AA51" i="4"/>
  <c r="AB51" i="4" s="1"/>
  <c r="AC51" i="4"/>
  <c r="AD51" i="4" s="1"/>
  <c r="AE51" i="4"/>
  <c r="AF51" i="4" s="1"/>
  <c r="AG51" i="4"/>
  <c r="AH51" i="4" s="1"/>
  <c r="AI51" i="4"/>
  <c r="AJ51" i="4" s="1"/>
  <c r="W52" i="4"/>
  <c r="X52" i="4"/>
  <c r="Y52" i="4"/>
  <c r="Z52" i="4" s="1"/>
  <c r="AA52" i="4"/>
  <c r="AB52" i="4" s="1"/>
  <c r="AC52" i="4"/>
  <c r="AD52" i="4" s="1"/>
  <c r="AE52" i="4"/>
  <c r="AF52" i="4" s="1"/>
  <c r="AG52" i="4"/>
  <c r="AH52" i="4" s="1"/>
  <c r="AI52" i="4"/>
  <c r="AJ52" i="4" s="1"/>
  <c r="W53" i="4"/>
  <c r="X53" i="4"/>
  <c r="Y53" i="4"/>
  <c r="Z53" i="4" s="1"/>
  <c r="AA53" i="4"/>
  <c r="AB53" i="4" s="1"/>
  <c r="AC53" i="4"/>
  <c r="AD53" i="4" s="1"/>
  <c r="AE53" i="4"/>
  <c r="AF53" i="4" s="1"/>
  <c r="AG53" i="4"/>
  <c r="AH53" i="4" s="1"/>
  <c r="AI53" i="4"/>
  <c r="AJ53" i="4" s="1"/>
  <c r="W54" i="4"/>
  <c r="X54" i="4"/>
  <c r="Y54" i="4"/>
  <c r="Z54" i="4" s="1"/>
  <c r="AA54" i="4"/>
  <c r="AB54" i="4" s="1"/>
  <c r="AC54" i="4"/>
  <c r="AD54" i="4" s="1"/>
  <c r="AE54" i="4"/>
  <c r="AF54" i="4" s="1"/>
  <c r="AG54" i="4"/>
  <c r="AH54" i="4" s="1"/>
  <c r="AI54" i="4"/>
  <c r="AJ54" i="4" s="1"/>
  <c r="AF30" i="4" l="1"/>
  <c r="AF40" i="4"/>
  <c r="AD39" i="4"/>
  <c r="AJ38" i="4"/>
  <c r="AB38" i="4"/>
  <c r="AH37" i="4"/>
  <c r="Z37" i="4"/>
  <c r="AF36" i="4"/>
  <c r="AD35" i="4"/>
  <c r="AJ34" i="4"/>
  <c r="AB34" i="4"/>
  <c r="AH33" i="4"/>
  <c r="Z33" i="4"/>
  <c r="AF32" i="4"/>
  <c r="AD31" i="4"/>
  <c r="AF29" i="4"/>
  <c r="AH27" i="4"/>
  <c r="Z27" i="4"/>
  <c r="AJ25" i="4"/>
  <c r="AB25" i="4"/>
  <c r="AD23" i="4"/>
  <c r="AF21" i="4"/>
  <c r="Z7" i="4"/>
  <c r="P7" i="4"/>
  <c r="AJ5" i="4"/>
  <c r="AB5" i="4"/>
  <c r="R5" i="4"/>
  <c r="J5" i="4"/>
  <c r="AJ24" i="4"/>
  <c r="AB24" i="4"/>
  <c r="AD22" i="4"/>
  <c r="AF20" i="4"/>
  <c r="AH18" i="4"/>
  <c r="Z18" i="4"/>
  <c r="AJ16" i="4"/>
  <c r="AB16" i="4"/>
  <c r="AD14" i="4"/>
  <c r="AF8" i="4"/>
  <c r="N8" i="4"/>
  <c r="P6" i="4"/>
  <c r="AJ35" i="4"/>
  <c r="AD32" i="4"/>
  <c r="AJ31" i="4"/>
  <c r="AB31" i="4"/>
  <c r="AD29" i="4"/>
  <c r="AF27" i="4"/>
  <c r="Z25" i="4"/>
  <c r="AJ23" i="4"/>
  <c r="AB23" i="4"/>
  <c r="AD21" i="4"/>
  <c r="AF19" i="4"/>
  <c r="AH17" i="4"/>
  <c r="Z17" i="4"/>
  <c r="AJ15" i="4"/>
  <c r="AB15" i="4"/>
  <c r="AD13" i="4"/>
  <c r="AF12" i="4"/>
  <c r="AF9" i="4"/>
  <c r="AF7" i="4"/>
  <c r="N7" i="4"/>
  <c r="AH5" i="4"/>
  <c r="Z5" i="4"/>
  <c r="P5" i="4"/>
  <c r="AF26" i="4"/>
  <c r="AH24" i="4"/>
  <c r="AJ14" i="4"/>
  <c r="AB14" i="4"/>
  <c r="AD8" i="4"/>
  <c r="T8" i="4"/>
  <c r="AD28" i="4"/>
  <c r="AH31" i="4"/>
  <c r="Z31" i="4"/>
  <c r="AJ29" i="4"/>
  <c r="AB29" i="4"/>
  <c r="Z23" i="4"/>
  <c r="T12" i="4"/>
  <c r="L12" i="4"/>
  <c r="L11" i="4"/>
  <c r="AD10" i="4"/>
  <c r="AD9" i="4"/>
  <c r="T9" i="4"/>
  <c r="AD7" i="4"/>
  <c r="T7" i="4"/>
  <c r="L7" i="4"/>
  <c r="N5" i="4"/>
  <c r="AF24" i="4"/>
  <c r="AH22" i="4"/>
  <c r="AJ20" i="4"/>
  <c r="AB20" i="4"/>
  <c r="AH14" i="4"/>
  <c r="Z14" i="4"/>
  <c r="AJ8" i="4"/>
  <c r="AB8" i="4"/>
  <c r="R8" i="4"/>
  <c r="J8" i="4"/>
  <c r="AD6" i="4"/>
  <c r="T6" i="4"/>
  <c r="L6" i="4"/>
  <c r="AH29" i="4"/>
  <c r="Z29" i="4"/>
  <c r="AJ27" i="4"/>
  <c r="AB27" i="4"/>
  <c r="AD25" i="4"/>
  <c r="Z21" i="4"/>
  <c r="AD17" i="4"/>
  <c r="AJ12" i="4"/>
  <c r="AB12" i="4"/>
  <c r="AJ11" i="4"/>
  <c r="AB11" i="4"/>
  <c r="AJ10" i="4"/>
  <c r="AB10" i="4"/>
  <c r="AB9" i="4"/>
</calcChain>
</file>

<file path=xl/sharedStrings.xml><?xml version="1.0" encoding="utf-8"?>
<sst xmlns="http://schemas.openxmlformats.org/spreadsheetml/2006/main" count="476" uniqueCount="327">
  <si>
    <t>PROVNAME</t>
  </si>
  <si>
    <t>CITY</t>
  </si>
  <si>
    <t>COUNTY_NAME</t>
  </si>
  <si>
    <t>MDScensus</t>
  </si>
  <si>
    <t>Hrs_Admin</t>
  </si>
  <si>
    <t>MPRD: Admin</t>
  </si>
  <si>
    <t>Hrs_MedDir</t>
  </si>
  <si>
    <t>MPRD: MedDir</t>
  </si>
  <si>
    <t>Hrs_Pharmacist</t>
  </si>
  <si>
    <t>Hrs_Dietician</t>
  </si>
  <si>
    <t>Hrs_PA</t>
  </si>
  <si>
    <t>Hrs_NP</t>
  </si>
  <si>
    <t>Hrs_SpcLangPath</t>
  </si>
  <si>
    <t>MPRD: Total Social Work</t>
  </si>
  <si>
    <t>MPRD: Combined Activities</t>
  </si>
  <si>
    <t>MPRD: OT (incl. Assistant &amp; Aide)</t>
  </si>
  <si>
    <t>MPRD: PT (incl. Assistant &amp; Aide)</t>
  </si>
  <si>
    <t>Hrs_MHSvc</t>
  </si>
  <si>
    <t>Hrs_TherRecSpec</t>
  </si>
  <si>
    <t>Hrs_ClinNrsSpec</t>
  </si>
  <si>
    <t>Hrs_FeedAsst</t>
  </si>
  <si>
    <t>Hrs_RespTher</t>
  </si>
  <si>
    <t>Hrs_RespTech</t>
  </si>
  <si>
    <t>Hrs_OthMD</t>
  </si>
  <si>
    <t>ACHIEVE REHAB AND NURSING FACILITY</t>
  </si>
  <si>
    <t>LIBERTY</t>
  </si>
  <si>
    <t>Sullivan</t>
  </si>
  <si>
    <t>ADIRA AT RIVERSIDE REHABILITATION AND NURSING</t>
  </si>
  <si>
    <t>YONKERS</t>
  </si>
  <si>
    <t>Westchester</t>
  </si>
  <si>
    <t>ANDRUS ON HUDSON</t>
  </si>
  <si>
    <t>HASTINGS ON HUDSON</t>
  </si>
  <si>
    <t>BAYBERRY NURSING HOME</t>
  </si>
  <si>
    <t>NEW ROCHELLE</t>
  </si>
  <si>
    <t>BETHEL NURSING HOME COMPANY INC</t>
  </si>
  <si>
    <t>OSSINING</t>
  </si>
  <si>
    <t>BRIARCLIFF MANOR CENTER FOR REHAB AND NURSING CARE</t>
  </si>
  <si>
    <t>BRIARCLIFF MANOR</t>
  </si>
  <si>
    <t>CAMPBELL HALL REHABILITATION CENTER INC</t>
  </si>
  <si>
    <t>CAMPBELL HALL</t>
  </si>
  <si>
    <t>Orange</t>
  </si>
  <si>
    <t>CEDAR MANOR NURSING &amp; REHABILITATION CENTER</t>
  </si>
  <si>
    <t>CORTLANDT HEALTHCARE</t>
  </si>
  <si>
    <t>CORTLANDT MANOR</t>
  </si>
  <si>
    <t>DUMONT CENTER FOR REHABILITATION AND NURSING CARE</t>
  </si>
  <si>
    <t>ELIZABETH SETON CHILDREN'S CENTER</t>
  </si>
  <si>
    <t>EPIC REHABILITATION AND NURSING AT WHITE PLAINS</t>
  </si>
  <si>
    <t>WHITE PLAINS</t>
  </si>
  <si>
    <t>FERNCLIFF NURSING HOME CO INC</t>
  </si>
  <si>
    <t>RHINEBECK</t>
  </si>
  <si>
    <t>Dutchess</t>
  </si>
  <si>
    <t>FISHKILL CENTER FOR REHABILITATION AND NURSING</t>
  </si>
  <si>
    <t>BEACON</t>
  </si>
  <si>
    <t>FRIEDWALD CENTER FOR REHAB AND NURSING, L L C</t>
  </si>
  <si>
    <t>NEW CITY</t>
  </si>
  <si>
    <t>Rockland</t>
  </si>
  <si>
    <t>GHENT REHABILITATION &amp; NURSING CENTER</t>
  </si>
  <si>
    <t>GHENT</t>
  </si>
  <si>
    <t>Columbia</t>
  </si>
  <si>
    <t>GLEN ARDEN INC</t>
  </si>
  <si>
    <t>GOSHEN</t>
  </si>
  <si>
    <t>GLEN ISLAND CENTER FOR NURSING AND REHABILITATION</t>
  </si>
  <si>
    <t>GOLDEN HILL NURSING AND REHABILITATION CENTER</t>
  </si>
  <si>
    <t>KINGSTON</t>
  </si>
  <si>
    <t>Ulster</t>
  </si>
  <si>
    <t>GREENE MEADOWS NURSING AND REHABILITATION CENTER</t>
  </si>
  <si>
    <t>CATSKILL</t>
  </si>
  <si>
    <t>Greene</t>
  </si>
  <si>
    <t>HELEN HAYES HOSPITAL R H C F</t>
  </si>
  <si>
    <t>WEST HAVERSTRAW</t>
  </si>
  <si>
    <t>HELEN HAYES HOSPITAL T C U</t>
  </si>
  <si>
    <t>HIGHLAND REHABILITATION AND NURSING CENTER</t>
  </si>
  <si>
    <t>MIDDLETOWN</t>
  </si>
  <si>
    <t>HUDSON HILL CENTER FOR REHABILITATION &amp; NURSING</t>
  </si>
  <si>
    <t>HUDSON VALLEY REHABILITATION &amp; EXTENDED CARE CTR</t>
  </si>
  <si>
    <t>HIGHLAND</t>
  </si>
  <si>
    <t>KENDAL ON HUDSON</t>
  </si>
  <si>
    <t>SLEEPY HOLLOW</t>
  </si>
  <si>
    <t>KING STREET HOME INC</t>
  </si>
  <si>
    <t>PORT CHESTER</t>
  </si>
  <si>
    <t>LIVINGSTON HILLS NURSING AND REHABILITATION CENTER</t>
  </si>
  <si>
    <t>LIVINGSTON</t>
  </si>
  <si>
    <t>LUTHERAN CENTER AT POUGHKEEPSIE INC</t>
  </si>
  <si>
    <t>POUGHKEEPSIE</t>
  </si>
  <si>
    <t>MARTINE CENTER FOR REHABILITATION AND NURSING</t>
  </si>
  <si>
    <t>MIDDLETOWN PARK REHAB &amp; HEALTH CARE CENTER</t>
  </si>
  <si>
    <t>MONTGOMERY NURSING AND REHABILITATION CENTER</t>
  </si>
  <si>
    <t>MONTGOMERY</t>
  </si>
  <si>
    <t>NEW PALTZ CENTER FOR REHABILITATION AND NURSING</t>
  </si>
  <si>
    <t>NEW PALTZ</t>
  </si>
  <si>
    <t>NEW YORK STATE VETERANS HOME AT MONTROSE</t>
  </si>
  <si>
    <t>MONTROSE</t>
  </si>
  <si>
    <t>NORTH WESTCHESTER RESTORATIVE THERAPY &amp; NRSG CRT</t>
  </si>
  <si>
    <t>MOHEGAN LAKE</t>
  </si>
  <si>
    <t>NORTHEAST CTR FOR REHABILITATION AND BRAIN INJURY</t>
  </si>
  <si>
    <t>LAKE KATRINE</t>
  </si>
  <si>
    <t>NORTHERN MANOR GERIATRIC CENTER INC</t>
  </si>
  <si>
    <t>NANUET</t>
  </si>
  <si>
    <t>NORTHERN METROPOLITAN RES HEALTH CARE FACILITY INC</t>
  </si>
  <si>
    <t>MONSEY</t>
  </si>
  <si>
    <t>NORTHERN RIVERVIEW HEALTH CARE, INC</t>
  </si>
  <si>
    <t>HAVERSTRAW</t>
  </si>
  <si>
    <t>NYACK RIDGE REHABILITATION AND NURSING CENTER</t>
  </si>
  <si>
    <t>VALLEY COTTAGE</t>
  </si>
  <si>
    <t>PINE HAVEN HOME</t>
  </si>
  <si>
    <t>PHILMONT</t>
  </si>
  <si>
    <t>PINE VALLEY CENTER FOR REHABILITATION AND NURSING</t>
  </si>
  <si>
    <t>SPRING VALLEY</t>
  </si>
  <si>
    <t>PUTNAM NURSING &amp; REHABILITATION CENTER</t>
  </si>
  <si>
    <t>HOLMES</t>
  </si>
  <si>
    <t>Putnam</t>
  </si>
  <si>
    <t>PUTNAM RIDGE</t>
  </si>
  <si>
    <t>BREWSTER</t>
  </si>
  <si>
    <t>RENAISSANCE REHABILITATION AND NURSING CARE CENTER</t>
  </si>
  <si>
    <t>STAATSBURG</t>
  </si>
  <si>
    <t>ROSCOE REGIONAL REHAB &amp; RESIDENTIAL H C F</t>
  </si>
  <si>
    <t>ROSCOE</t>
  </si>
  <si>
    <t>SALEM HILLS REHABILITATION AND NURSING CENTER</t>
  </si>
  <si>
    <t>PURDYS</t>
  </si>
  <si>
    <t>SANS SOUCI REHABILITATION AND NURSING CENTER</t>
  </si>
  <si>
    <t>SAPPHIRE NURSING AND REHAB AT GOSHEN</t>
  </si>
  <si>
    <t>SAPPHIRE NURSING AT MEADOW HILL</t>
  </si>
  <si>
    <t>NEWBURGH</t>
  </si>
  <si>
    <t>SAPPHIRE NURSING AT WAPPINGERS</t>
  </si>
  <si>
    <t>WAPPINGERS FALLS</t>
  </si>
  <si>
    <t>SCHAFFER EXTENDED CARE CENTER</t>
  </si>
  <si>
    <t>SCHERVIER PAVILION</t>
  </si>
  <si>
    <t>WARWICK</t>
  </si>
  <si>
    <t>SKY VIEW REHABILITATION &amp; HEALTH CARE CENTER L L C</t>
  </si>
  <si>
    <t>CROTON ON HUDSON</t>
  </si>
  <si>
    <t>SPRAIN BROOK MANOR REHAB</t>
  </si>
  <si>
    <t>SCARSDALE</t>
  </si>
  <si>
    <t>SPRINGVALE NURSING &amp; REHABILITATION CENTER</t>
  </si>
  <si>
    <t>ST CABRINI NURSING HOME</t>
  </si>
  <si>
    <t>DOBBS FERRY</t>
  </si>
  <si>
    <t>ST JOSEPHS PLACE</t>
  </si>
  <si>
    <t>PORT JERVIS</t>
  </si>
  <si>
    <t>SULLIVAN COUNTY ADULT CARE CENTER</t>
  </si>
  <si>
    <t>SUNSHINE CHILDREN'S HOME AND REHAB CENTER</t>
  </si>
  <si>
    <t>SUTTON PARK CENTER FOR NURSING AND REHABILITATION</t>
  </si>
  <si>
    <t>TACONIC REHABILITATION AND NURSING AT BEACON</t>
  </si>
  <si>
    <t>TACONIC REHABILITATION AND NURSING AT HOPEWELL</t>
  </si>
  <si>
    <t>FISHKILL</t>
  </si>
  <si>
    <t>TACONIC REHABILITATION AND NURSING AT ULSTER</t>
  </si>
  <si>
    <t>TARRYTOWN HALL CARE CENTER</t>
  </si>
  <si>
    <t>TARRYTOWN</t>
  </si>
  <si>
    <t>TEN BROECK COMMONS</t>
  </si>
  <si>
    <t>THE BAPTIST HOME AT BROOKMEADE</t>
  </si>
  <si>
    <t>THE ELEANOR NURSING CARE CENTER</t>
  </si>
  <si>
    <t>HYDE PARK</t>
  </si>
  <si>
    <t>THE EMERALD PEEK REHABILITATION AND NURSING CENTER</t>
  </si>
  <si>
    <t>PEEKSKILL</t>
  </si>
  <si>
    <t>THE ENCLAVE AT RYE  REHAB AND NURSING CTR</t>
  </si>
  <si>
    <t>THE GRAND REHABILITATION AND NRSG AT RIVER VALLEY</t>
  </si>
  <si>
    <t>THE GRAND REHABILITATION AND NURSING AT BARNWELL</t>
  </si>
  <si>
    <t>VALATIE</t>
  </si>
  <si>
    <t>THE GRAND REHABILITATION AND NURSING AT PAWLING</t>
  </si>
  <si>
    <t>PAWLING</t>
  </si>
  <si>
    <t>THE GROVE AT VALHALLA REHAB AND NURSING CENTER</t>
  </si>
  <si>
    <t>VALHALLA</t>
  </si>
  <si>
    <t>THE KNOLLS</t>
  </si>
  <si>
    <t>THE NEW JEWISH HOME, SARAH NEUMAN</t>
  </si>
  <si>
    <t>MAMARONECK</t>
  </si>
  <si>
    <t>THE OSBORN</t>
  </si>
  <si>
    <t>RYE</t>
  </si>
  <si>
    <t>THE PARAMOUNT AT SOMERS REHAB AND NURSING CENTER</t>
  </si>
  <si>
    <t>SOMERS</t>
  </si>
  <si>
    <t>THE PINES AT CATSKILL CENTER FOR NURSING &amp; REHAB</t>
  </si>
  <si>
    <t>THE PINES AT POUGHKEEPSIE CTR FOR NURSING &amp; REHAB</t>
  </si>
  <si>
    <t>THE STEVEN AND ALEXANDRA COHEN PED L T C PAVILION</t>
  </si>
  <si>
    <t>THE VALLEY VIEW CENTER FOR NURSING CARE AND REHAB</t>
  </si>
  <si>
    <t>THE WARTBURG HOME</t>
  </si>
  <si>
    <t>MOUNT VERNON</t>
  </si>
  <si>
    <t>THE WILLOWS AT RAMAPO REHAB AND NURSING CENTER</t>
  </si>
  <si>
    <t>SUFFERN</t>
  </si>
  <si>
    <t>TOLSTOY FOUNDATION REHABILITATION AND NRSG CENTER</t>
  </si>
  <si>
    <t>UNITED HEBREW GERIATRIC CENTER</t>
  </si>
  <si>
    <t>WATERVIEW HILLS REHABILITATION AND NURSING CENTER</t>
  </si>
  <si>
    <t>PURDY STATION</t>
  </si>
  <si>
    <t>WESTCHESTER CENTER FOR REHABILITATION &amp; NURSING</t>
  </si>
  <si>
    <t>WHITE PLAINS CENTER FOR NURSING CARE, L L C</t>
  </si>
  <si>
    <t>WOODLAND POND AT NEW PALTZ</t>
  </si>
  <si>
    <t>YONKERS GARDENS CENTER FOR NURSING AND REHAB</t>
  </si>
  <si>
    <t>YORKTOWN REHABILITATION &amp; NURSING CENTER</t>
  </si>
  <si>
    <t>Registered Nurse (incl. RN Admin, DON)</t>
  </si>
  <si>
    <t>Total RN</t>
  </si>
  <si>
    <t>Qualified Social Worker + Other Social Worker</t>
  </si>
  <si>
    <t>Total Social Work</t>
  </si>
  <si>
    <t>PT + PT Assistant + PT Aide</t>
  </si>
  <si>
    <t>Total PT</t>
  </si>
  <si>
    <t>OT + OT Assistant + OT Aide</t>
  </si>
  <si>
    <t>Total OT</t>
  </si>
  <si>
    <t>Qualified Activities Professional + Other Activities Staff</t>
  </si>
  <si>
    <t xml:space="preserve">Combined Activities </t>
  </si>
  <si>
    <t>RN + LPN + CNA + Med Aide + NA in Training</t>
  </si>
  <si>
    <t>Total Nurse Care Staff (excl. Admin/DON)</t>
  </si>
  <si>
    <t>RN (incl. Admin/DON) + LPN (incl. Admin) + CNA + Med Aide + NA TR</t>
  </si>
  <si>
    <t>Total Nurse Staff</t>
  </si>
  <si>
    <t>Staff minutes ÷ Resident Census</t>
  </si>
  <si>
    <t>MPRD</t>
  </si>
  <si>
    <r>
      <t xml:space="preserve">Staff hours </t>
    </r>
    <r>
      <rPr>
        <sz val="12"/>
        <color theme="1"/>
        <rFont val="Calibri"/>
        <family val="2"/>
      </rPr>
      <t>÷</t>
    </r>
    <r>
      <rPr>
        <sz val="8.4"/>
        <color theme="1"/>
        <rFont val="Calibri"/>
        <family val="2"/>
      </rPr>
      <t xml:space="preserve"> </t>
    </r>
    <r>
      <rPr>
        <sz val="12"/>
        <color theme="1"/>
        <rFont val="Calibri"/>
        <family val="2"/>
      </rPr>
      <t>Resident Census</t>
    </r>
  </si>
  <si>
    <t>HPRD</t>
  </si>
  <si>
    <t>Calculations/Metrics</t>
  </si>
  <si>
    <t>Physical Therapist</t>
  </si>
  <si>
    <t>PT</t>
  </si>
  <si>
    <t>Phsyician Assistant</t>
  </si>
  <si>
    <t>PA</t>
  </si>
  <si>
    <t>Occupational Therapist</t>
  </si>
  <si>
    <t>OT</t>
  </si>
  <si>
    <t>Physician Assistant</t>
  </si>
  <si>
    <t>Includes CNA, Nurse Aide in Training, Med Aide/Tech</t>
  </si>
  <si>
    <t>Nurse Aides</t>
  </si>
  <si>
    <t>Nurse Practitioner</t>
  </si>
  <si>
    <t>NP</t>
  </si>
  <si>
    <t>Nurse Aide in Training</t>
  </si>
  <si>
    <t>NA TR</t>
  </si>
  <si>
    <t>Medication Aide</t>
  </si>
  <si>
    <t>Med Aide/Tech</t>
  </si>
  <si>
    <t>Licensed Practical Nurse</t>
  </si>
  <si>
    <t>LPN</t>
  </si>
  <si>
    <t>Minutes Per Resident Day</t>
  </si>
  <si>
    <t>Hours Per Resident Day</t>
  </si>
  <si>
    <t>Certified Nursing Assistant</t>
  </si>
  <si>
    <t>CNA</t>
  </si>
  <si>
    <t>Glossary</t>
  </si>
  <si>
    <t>WY</t>
  </si>
  <si>
    <t>WV</t>
  </si>
  <si>
    <t>WI</t>
  </si>
  <si>
    <t>WA</t>
  </si>
  <si>
    <t>VT</t>
  </si>
  <si>
    <t>VA</t>
  </si>
  <si>
    <t>UT</t>
  </si>
  <si>
    <t>TX</t>
  </si>
  <si>
    <t>TN</t>
  </si>
  <si>
    <t>SD</t>
  </si>
  <si>
    <t>SC</t>
  </si>
  <si>
    <t>RI</t>
  </si>
  <si>
    <t>PR</t>
  </si>
  <si>
    <t>OR</t>
  </si>
  <si>
    <t>OK</t>
  </si>
  <si>
    <t>OH</t>
  </si>
  <si>
    <t>NY</t>
  </si>
  <si>
    <t>NV</t>
  </si>
  <si>
    <t>NM</t>
  </si>
  <si>
    <t>NJ</t>
  </si>
  <si>
    <t>NH</t>
  </si>
  <si>
    <t>NE</t>
  </si>
  <si>
    <t>ND</t>
  </si>
  <si>
    <t>Other Physician</t>
  </si>
  <si>
    <t>NC</t>
  </si>
  <si>
    <t>Respiratory Therapy Technician</t>
  </si>
  <si>
    <t>MT</t>
  </si>
  <si>
    <t>Respiratory Therapist</t>
  </si>
  <si>
    <t>MS</t>
  </si>
  <si>
    <t>Feeding Assistant</t>
  </si>
  <si>
    <t>MO</t>
  </si>
  <si>
    <t>Clinical Nurse Specialist</t>
  </si>
  <si>
    <t>MN</t>
  </si>
  <si>
    <t>Therapeutic Recreation Specialist</t>
  </si>
  <si>
    <t>MI</t>
  </si>
  <si>
    <t>Mental Health Service Worker</t>
  </si>
  <si>
    <t>ME</t>
  </si>
  <si>
    <t>PT Aide</t>
  </si>
  <si>
    <t>MD</t>
  </si>
  <si>
    <t>PT Assistant</t>
  </si>
  <si>
    <t>MA</t>
  </si>
  <si>
    <t>LA</t>
  </si>
  <si>
    <t>Combined Physical Therapist (PT)</t>
  </si>
  <si>
    <t>KY</t>
  </si>
  <si>
    <t>OT Aide</t>
  </si>
  <si>
    <t>KS</t>
  </si>
  <si>
    <t>OT Assistant</t>
  </si>
  <si>
    <t>IN</t>
  </si>
  <si>
    <t>IL</t>
  </si>
  <si>
    <t>Combined Occupational Therapist (OT)</t>
  </si>
  <si>
    <t>ID</t>
  </si>
  <si>
    <t>Other Activities Professional</t>
  </si>
  <si>
    <t>IA</t>
  </si>
  <si>
    <t>Qualified Activities Professional</t>
  </si>
  <si>
    <t>HI</t>
  </si>
  <si>
    <t>Total Activities</t>
  </si>
  <si>
    <t>GA</t>
  </si>
  <si>
    <t>*Nursing Homes submitting invalid Admin Data</t>
  </si>
  <si>
    <t>Other Social Work Staff</t>
  </si>
  <si>
    <t>FL</t>
  </si>
  <si>
    <t>Residents Per Nursing Home</t>
  </si>
  <si>
    <t>Qualified Social Work Staff</t>
  </si>
  <si>
    <t>DE</t>
  </si>
  <si>
    <t>Total Census</t>
  </si>
  <si>
    <t>DC</t>
  </si>
  <si>
    <t>Total Nursing Homes</t>
  </si>
  <si>
    <t>Speech/Language Pathologist</t>
  </si>
  <si>
    <t>CT</t>
  </si>
  <si>
    <t>Descriptive Data</t>
  </si>
  <si>
    <t>Nurse Practictioner</t>
  </si>
  <si>
    <t>CO</t>
  </si>
  <si>
    <t>Total Activities MPRD</t>
  </si>
  <si>
    <t>CA</t>
  </si>
  <si>
    <t>Total PT MPRD</t>
  </si>
  <si>
    <t>Dietician</t>
  </si>
  <si>
    <t>AZ</t>
  </si>
  <si>
    <t>Total OT MPRD</t>
  </si>
  <si>
    <t>Pharmacist</t>
  </si>
  <si>
    <t>AR</t>
  </si>
  <si>
    <t>Medical Director</t>
  </si>
  <si>
    <t>AL</t>
  </si>
  <si>
    <t>Total Med Director MPRD</t>
  </si>
  <si>
    <t>*Admin</t>
  </si>
  <si>
    <t>AK</t>
  </si>
  <si>
    <t>Total Admin MPRD</t>
  </si>
  <si>
    <t>NHs reporting 0</t>
  </si>
  <si>
    <t>US Total Hours</t>
  </si>
  <si>
    <t>Staffing Category</t>
  </si>
  <si>
    <t>Rank: Total Activities MPRD</t>
  </si>
  <si>
    <t>Rank: Total PT MPRD</t>
  </si>
  <si>
    <t>Rank: Total OT MPRD</t>
  </si>
  <si>
    <t>Rank: Total Social Work MPRD</t>
  </si>
  <si>
    <t>Total Social Work MPRD</t>
  </si>
  <si>
    <t>Rank: Total MedDir MPRD</t>
  </si>
  <si>
    <t>Total MedDir MPRD</t>
  </si>
  <si>
    <t>Rank: Total Admin MPRD</t>
  </si>
  <si>
    <t>Providers</t>
  </si>
  <si>
    <t>State</t>
  </si>
  <si>
    <t>CMS Region Number</t>
  </si>
  <si>
    <t>Median</t>
  </si>
  <si>
    <t>US Ratio</t>
  </si>
  <si>
    <t>National - 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</si>
</sst>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font>
    <font>
      <sz val="12"/>
      <color theme="1"/>
      <name val="Calibri"/>
      <family val="2"/>
    </font>
    <font>
      <b/>
      <sz val="11"/>
      <color theme="0"/>
      <name val="Aptos Narrow"/>
      <family val="2"/>
      <scheme val="minor"/>
    </font>
    <font>
      <sz val="11"/>
      <color theme="1"/>
      <name val="Aptos Narrow"/>
      <family val="2"/>
      <scheme val="minor"/>
    </font>
    <font>
      <sz val="12"/>
      <color theme="1"/>
      <name val="Aptos Narrow"/>
      <family val="2"/>
      <scheme val="minor"/>
    </font>
    <font>
      <sz val="8.4"/>
      <color theme="1"/>
      <name val="Calibri"/>
      <family val="2"/>
    </font>
    <font>
      <b/>
      <sz val="18"/>
      <color theme="1"/>
      <name val="Aptos Narrow"/>
      <family val="2"/>
      <scheme val="minor"/>
    </font>
    <font>
      <sz val="12"/>
      <color rgb="FF000000"/>
      <name val="Calibri"/>
      <family val="2"/>
    </font>
    <font>
      <b/>
      <sz val="12"/>
      <color theme="1"/>
      <name val="Aptos Narrow"/>
      <family val="2"/>
      <scheme val="minor"/>
    </font>
    <font>
      <sz val="11"/>
      <color rgb="FF000000"/>
      <name val="Calibri"/>
      <family val="2"/>
    </font>
    <font>
      <i/>
      <sz val="12"/>
      <color theme="1"/>
      <name val="Aptos Narrow"/>
      <family val="2"/>
      <scheme val="minor"/>
    </font>
    <font>
      <b/>
      <sz val="11"/>
      <color rgb="FF000000"/>
      <name val="Calibri"/>
      <family val="2"/>
    </font>
    <font>
      <b/>
      <sz val="11"/>
      <color theme="1"/>
      <name val="Aptos Narrow"/>
      <family val="2"/>
      <scheme val="minor"/>
    </font>
    <font>
      <b/>
      <i/>
      <sz val="12"/>
      <color theme="1"/>
      <name val="Aptos Narrow"/>
      <family val="2"/>
      <scheme val="minor"/>
    </font>
    <font>
      <b/>
      <sz val="11"/>
      <color theme="1"/>
      <name val="Calibri"/>
      <family val="2"/>
    </font>
    <font>
      <sz val="11"/>
      <color theme="1"/>
      <name val="Calibri"/>
      <family val="2"/>
    </font>
  </fonts>
  <fills count="6">
    <fill>
      <patternFill patternType="none"/>
    </fill>
    <fill>
      <patternFill patternType="gray125"/>
    </fill>
    <fill>
      <patternFill patternType="solid">
        <fgColor theme="9"/>
        <bgColor theme="9"/>
      </patternFill>
    </fill>
    <fill>
      <patternFill patternType="solid">
        <fgColor theme="0" tint="-0.14999847407452621"/>
        <bgColor theme="0" tint="-0.14999847407452621"/>
      </patternFill>
    </fill>
    <fill>
      <patternFill patternType="solid">
        <fgColor theme="4" tint="0.79998168889431442"/>
        <bgColor indexed="64"/>
      </patternFill>
    </fill>
    <fill>
      <patternFill patternType="solid">
        <fgColor theme="4" tint="0.39997558519241921"/>
        <bgColor indexed="64"/>
      </patternFill>
    </fill>
  </fills>
  <borders count="17">
    <border>
      <left/>
      <right/>
      <top/>
      <bottom/>
      <diagonal/>
    </border>
    <border>
      <left/>
      <right/>
      <top/>
      <bottom style="medium">
        <color theme="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s>
  <cellStyleXfs count="4">
    <xf numFmtId="0" fontId="0" fillId="0" borderId="0"/>
    <xf numFmtId="0" fontId="3" fillId="0" borderId="0"/>
    <xf numFmtId="0" fontId="3" fillId="0" borderId="0"/>
    <xf numFmtId="9" fontId="3" fillId="0" borderId="0" applyFont="0" applyFill="0" applyBorder="0" applyAlignment="0" applyProtection="0"/>
  </cellStyleXfs>
  <cellXfs count="59">
    <xf numFmtId="0" fontId="0" fillId="0" borderId="0" xfId="0"/>
    <xf numFmtId="0" fontId="0" fillId="3" borderId="0" xfId="0" applyFill="1"/>
    <xf numFmtId="2" fontId="0" fillId="3" borderId="0" xfId="0" applyNumberFormat="1" applyFill="1"/>
    <xf numFmtId="2" fontId="0" fillId="0" borderId="0" xfId="0" applyNumberFormat="1"/>
    <xf numFmtId="0" fontId="2" fillId="2" borderId="1" xfId="0" applyFont="1" applyFill="1" applyBorder="1" applyAlignment="1">
      <alignment wrapText="1"/>
    </xf>
    <xf numFmtId="2" fontId="2" fillId="2" borderId="1" xfId="0" applyNumberFormat="1" applyFont="1" applyFill="1" applyBorder="1" applyAlignment="1">
      <alignment wrapText="1"/>
    </xf>
    <xf numFmtId="0" fontId="0" fillId="0" borderId="0" xfId="0" applyBorder="1"/>
    <xf numFmtId="2" fontId="0" fillId="0" borderId="0" xfId="0" applyNumberFormat="1" applyBorder="1"/>
    <xf numFmtId="0" fontId="0" fillId="0" borderId="0" xfId="0" applyAlignment="1">
      <alignment wrapText="1"/>
    </xf>
    <xf numFmtId="0" fontId="4" fillId="0" borderId="0" xfId="1" applyFont="1"/>
    <xf numFmtId="0" fontId="4" fillId="0" borderId="2" xfId="1" applyFont="1" applyBorder="1"/>
    <xf numFmtId="0" fontId="4" fillId="0" borderId="3" xfId="1" applyFont="1" applyBorder="1"/>
    <xf numFmtId="0" fontId="4" fillId="0" borderId="4" xfId="1" applyFont="1" applyBorder="1"/>
    <xf numFmtId="0" fontId="4" fillId="0" borderId="5" xfId="1" applyFont="1" applyBorder="1"/>
    <xf numFmtId="0" fontId="4" fillId="0" borderId="6" xfId="1" applyFont="1" applyBorder="1"/>
    <xf numFmtId="0" fontId="4" fillId="4" borderId="7" xfId="1" applyFont="1" applyFill="1" applyBorder="1"/>
    <xf numFmtId="0" fontId="6" fillId="4" borderId="8" xfId="1" applyFont="1" applyFill="1" applyBorder="1"/>
    <xf numFmtId="0" fontId="7" fillId="0" borderId="0" xfId="2" applyFont="1" applyAlignment="1">
      <alignment horizontal="left" vertical="top" wrapText="1"/>
    </xf>
    <xf numFmtId="0" fontId="4" fillId="0" borderId="9" xfId="1" applyFont="1" applyBorder="1"/>
    <xf numFmtId="0" fontId="4" fillId="0" borderId="10" xfId="1" applyFont="1" applyBorder="1"/>
    <xf numFmtId="1" fontId="4" fillId="0" borderId="0" xfId="1" applyNumberFormat="1" applyFont="1"/>
    <xf numFmtId="0" fontId="3" fillId="0" borderId="0" xfId="1"/>
    <xf numFmtId="4" fontId="4" fillId="0" borderId="0" xfId="1" applyNumberFormat="1" applyFont="1"/>
    <xf numFmtId="3" fontId="4" fillId="0" borderId="0" xfId="1" applyNumberFormat="1" applyFont="1"/>
    <xf numFmtId="3" fontId="3" fillId="0" borderId="0" xfId="1" applyNumberFormat="1"/>
    <xf numFmtId="3" fontId="4" fillId="0" borderId="0" xfId="3" applyNumberFormat="1" applyFont="1"/>
    <xf numFmtId="3" fontId="8" fillId="4" borderId="0" xfId="1" applyNumberFormat="1" applyFont="1" applyFill="1"/>
    <xf numFmtId="4" fontId="8" fillId="4" borderId="0" xfId="1" applyNumberFormat="1" applyFont="1" applyFill="1"/>
    <xf numFmtId="3" fontId="8" fillId="4" borderId="0" xfId="3" applyNumberFormat="1" applyFont="1" applyFill="1"/>
    <xf numFmtId="3" fontId="8" fillId="4" borderId="0" xfId="1" applyNumberFormat="1" applyFont="1" applyFill="1" applyAlignment="1">
      <alignment horizontal="center"/>
    </xf>
    <xf numFmtId="3" fontId="4" fillId="0" borderId="11" xfId="1" applyNumberFormat="1" applyFont="1" applyBorder="1"/>
    <xf numFmtId="0" fontId="4" fillId="0" borderId="0" xfId="1" applyFont="1" applyAlignment="1">
      <alignment vertical="top" wrapText="1"/>
    </xf>
    <xf numFmtId="1" fontId="9" fillId="0" borderId="0" xfId="2" applyNumberFormat="1" applyFont="1" applyAlignment="1">
      <alignment vertical="top"/>
    </xf>
    <xf numFmtId="0" fontId="10" fillId="0" borderId="0" xfId="1" applyFont="1"/>
    <xf numFmtId="3" fontId="4" fillId="0" borderId="0" xfId="1" applyNumberFormat="1" applyFont="1" applyAlignment="1">
      <alignment vertical="top" wrapText="1"/>
    </xf>
    <xf numFmtId="2" fontId="9" fillId="0" borderId="0" xfId="2" applyNumberFormat="1" applyFont="1" applyAlignment="1">
      <alignment vertical="top"/>
    </xf>
    <xf numFmtId="0" fontId="11" fillId="0" borderId="0" xfId="2" applyFont="1" applyAlignment="1">
      <alignment vertical="top" wrapText="1"/>
    </xf>
    <xf numFmtId="3" fontId="9" fillId="0" borderId="0" xfId="2" applyNumberFormat="1" applyFont="1" applyAlignment="1">
      <alignment vertical="top"/>
    </xf>
    <xf numFmtId="0" fontId="12" fillId="0" borderId="0" xfId="1" applyFont="1"/>
    <xf numFmtId="3" fontId="8" fillId="4" borderId="0" xfId="1" applyNumberFormat="1" applyFont="1" applyFill="1" applyAlignment="1">
      <alignment vertical="top" wrapText="1"/>
    </xf>
    <xf numFmtId="2" fontId="9" fillId="0" borderId="12" xfId="3" applyNumberFormat="1" applyFont="1" applyFill="1" applyBorder="1" applyAlignment="1">
      <alignment vertical="top"/>
    </xf>
    <xf numFmtId="2" fontId="9" fillId="0" borderId="12" xfId="2" applyNumberFormat="1" applyFont="1" applyBorder="1" applyAlignment="1">
      <alignment vertical="top"/>
    </xf>
    <xf numFmtId="0" fontId="13" fillId="0" borderId="0" xfId="1" applyFont="1" applyAlignment="1">
      <alignment horizontal="center"/>
    </xf>
    <xf numFmtId="2" fontId="9" fillId="0" borderId="13" xfId="3" applyNumberFormat="1" applyFont="1" applyFill="1" applyBorder="1" applyAlignment="1">
      <alignment vertical="top"/>
    </xf>
    <xf numFmtId="2" fontId="9" fillId="0" borderId="13" xfId="2" applyNumberFormat="1" applyFont="1" applyBorder="1" applyAlignment="1">
      <alignment vertical="top"/>
    </xf>
    <xf numFmtId="0" fontId="8" fillId="0" borderId="7" xfId="1" applyFont="1" applyBorder="1"/>
    <xf numFmtId="2" fontId="9" fillId="0" borderId="14" xfId="3" applyNumberFormat="1" applyFont="1" applyFill="1" applyBorder="1" applyAlignment="1">
      <alignment vertical="top"/>
    </xf>
    <xf numFmtId="2" fontId="9" fillId="0" borderId="3" xfId="2" applyNumberFormat="1" applyFont="1" applyBorder="1" applyAlignment="1">
      <alignment vertical="top"/>
    </xf>
    <xf numFmtId="0" fontId="14" fillId="0" borderId="15" xfId="2" applyFont="1" applyBorder="1" applyAlignment="1">
      <alignment vertical="top" wrapText="1"/>
    </xf>
    <xf numFmtId="2" fontId="9" fillId="0" borderId="6" xfId="2" applyNumberFormat="1" applyFont="1" applyBorder="1" applyAlignment="1">
      <alignment vertical="top"/>
    </xf>
    <xf numFmtId="0" fontId="14" fillId="0" borderId="12" xfId="2" applyFont="1" applyBorder="1" applyAlignment="1">
      <alignment vertical="top" wrapText="1"/>
    </xf>
    <xf numFmtId="2" fontId="15" fillId="0" borderId="0" xfId="2" applyNumberFormat="1" applyFont="1" applyAlignment="1">
      <alignment vertical="top"/>
    </xf>
    <xf numFmtId="0" fontId="14" fillId="0" borderId="4" xfId="2" applyFont="1" applyBorder="1" applyAlignment="1">
      <alignment vertical="top" wrapText="1"/>
    </xf>
    <xf numFmtId="2" fontId="9" fillId="0" borderId="16" xfId="2" applyNumberFormat="1" applyFont="1" applyBorder="1" applyAlignment="1">
      <alignment vertical="top"/>
    </xf>
    <xf numFmtId="0" fontId="4" fillId="0" borderId="0" xfId="1" applyFont="1" applyAlignment="1">
      <alignment wrapText="1"/>
    </xf>
    <xf numFmtId="0" fontId="10" fillId="0" borderId="0" xfId="1" applyFont="1" applyAlignment="1">
      <alignment horizontal="left" wrapText="1"/>
    </xf>
    <xf numFmtId="0" fontId="4" fillId="0" borderId="0" xfId="1" applyFont="1" applyAlignment="1">
      <alignment horizontal="left" wrapText="1"/>
    </xf>
    <xf numFmtId="0" fontId="3" fillId="0" borderId="0" xfId="1" applyAlignment="1">
      <alignment horizontal="left" wrapText="1"/>
    </xf>
    <xf numFmtId="2" fontId="8" fillId="5" borderId="0" xfId="1" applyNumberFormat="1" applyFont="1" applyFill="1" applyAlignment="1">
      <alignment horizontal="left" wrapText="1"/>
    </xf>
  </cellXfs>
  <cellStyles count="4">
    <cellStyle name="Normal" xfId="0" builtinId="0"/>
    <cellStyle name="Normal 2" xfId="1" xr:uid="{5836DC7C-88D6-B443-86D7-E30CFEE7B9F8}"/>
    <cellStyle name="Normal 2 2" xfId="2" xr:uid="{23FB5A53-6BF3-5046-8B1E-43F998DB2A2F}"/>
    <cellStyle name="Percent 2" xfId="3" xr:uid="{67B639C2-8196-5B41-B4D9-41C21C1A482E}"/>
  </cellStyles>
  <dxfs count="70">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numFmt numFmtId="1"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1"/>
        <name val="Aptos Narrow"/>
        <family val="2"/>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4" formatCode="#,##0.0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numFmt numFmtId="3" formatCode="#,##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1"/>
        <name val="Aptos Narrow"/>
        <family val="2"/>
        <scheme val="minor"/>
      </font>
      <alignment horizontal="left" vertical="bottom" textRotation="0" wrapText="1" indent="0" justifyLastLine="0" shrinkToFit="0" readingOrder="0"/>
    </dxf>
    <dxf>
      <fill>
        <patternFill patternType="none">
          <fgColor rgb="FF000000"/>
          <bgColor auto="1"/>
        </patternFill>
      </fill>
    </dxf>
    <dxf>
      <font>
        <b val="0"/>
        <i val="0"/>
        <strike val="0"/>
        <condense val="0"/>
        <extend val="0"/>
        <outline val="0"/>
        <shadow val="0"/>
        <u val="none"/>
        <vertAlign val="baseline"/>
        <sz val="11"/>
        <color rgb="FF000000"/>
        <name val="Calibri"/>
        <family val="2"/>
        <scheme val="none"/>
      </font>
      <numFmt numFmtId="2" formatCode="0.00"/>
      <fill>
        <patternFill patternType="none">
          <fgColor indexed="64"/>
          <bgColor auto="1"/>
        </patternFill>
      </fill>
      <alignment horizontal="general" vertical="top" textRotation="0" wrapText="0" indent="0" justifyLastLine="0" shrinkToFit="0" readingOrder="0"/>
      <border diagonalUp="0" diagonalDown="0">
        <left style="thin">
          <color indexed="64"/>
        </left>
        <right/>
        <top/>
        <bottom/>
      </border>
    </dxf>
    <dxf>
      <fill>
        <patternFill patternType="none">
          <fgColor indexed="64"/>
          <bgColor auto="1"/>
        </patternFill>
      </fill>
      <border diagonalUp="0" diagonalDown="0">
        <left/>
        <right style="thin">
          <color indexed="64"/>
        </right>
        <top/>
        <bottom/>
        <vertical/>
        <horizontal/>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dxf>
    <dxf>
      <font>
        <b/>
        <i val="0"/>
        <strike val="0"/>
        <condense val="0"/>
        <extend val="0"/>
        <outline val="0"/>
        <shadow val="0"/>
        <u val="none"/>
        <vertAlign val="baseline"/>
        <sz val="12"/>
        <color theme="1"/>
        <name val="Aptos Narrow"/>
        <family val="2"/>
        <scheme val="minor"/>
      </font>
      <numFmt numFmtId="2" formatCode="0.00"/>
      <fill>
        <patternFill patternType="solid">
          <fgColor indexed="64"/>
          <bgColor theme="4" tint="0.39997558519241921"/>
        </patternFill>
      </fill>
      <alignment horizontal="left" vertical="bottom"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theme="9"/>
          <bgColor theme="9"/>
        </patternFill>
      </fill>
      <alignment horizontal="general" vertical="bottom" textRotation="0" wrapText="1" indent="0" justifyLastLine="0" shrinkToFit="0"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border outline="0">
        <bottom style="medium">
          <color theme="1"/>
        </bottom>
      </border>
    </dxf>
    <dxf>
      <border outline="0">
        <top style="medium">
          <color theme="1"/>
        </top>
        <bottom style="medium">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198437</xdr:colOff>
      <xdr:row>14</xdr:row>
      <xdr:rowOff>134937</xdr:rowOff>
    </xdr:from>
    <xdr:to>
      <xdr:col>5</xdr:col>
      <xdr:colOff>589643</xdr:colOff>
      <xdr:row>66</xdr:row>
      <xdr:rowOff>194235</xdr:rowOff>
    </xdr:to>
    <xdr:sp macro="" textlink="">
      <xdr:nvSpPr>
        <xdr:cNvPr id="2" name="TextBox 1">
          <a:extLst>
            <a:ext uri="{FF2B5EF4-FFF2-40B4-BE49-F238E27FC236}">
              <a16:creationId xmlns:a16="http://schemas.microsoft.com/office/drawing/2014/main" id="{524DA93E-DAC3-FA47-A916-0CCFF167B999}"/>
            </a:ext>
          </a:extLst>
        </xdr:cNvPr>
        <xdr:cNvSpPr txBox="1"/>
      </xdr:nvSpPr>
      <xdr:spPr>
        <a:xfrm>
          <a:off x="198437" y="2979737"/>
          <a:ext cx="3756706" cy="1062569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800" b="1" i="0" u="none" strike="noStrike">
              <a:solidFill>
                <a:schemeClr val="dk1"/>
              </a:solidFill>
              <a:effectLst/>
              <a:latin typeface="+mn-lt"/>
              <a:ea typeface="+mn-ea"/>
              <a:cs typeface="+mn-cs"/>
            </a:rPr>
            <a:t>Data</a:t>
          </a:r>
          <a:r>
            <a:rPr lang="en-US" sz="1800" b="1" i="0" u="none" strike="noStrike" baseline="0">
              <a:solidFill>
                <a:schemeClr val="dk1"/>
              </a:solidFill>
              <a:effectLst/>
              <a:latin typeface="+mn-lt"/>
              <a:ea typeface="+mn-ea"/>
              <a:cs typeface="+mn-cs"/>
            </a:rPr>
            <a:t> Notes</a:t>
          </a:r>
          <a:br>
            <a:rPr lang="en-US" sz="1100" b="1" i="0" u="none" strike="noStrike">
              <a:solidFill>
                <a:schemeClr val="dk1"/>
              </a:solidFill>
              <a:effectLst/>
              <a:latin typeface="+mn-lt"/>
              <a:ea typeface="+mn-ea"/>
              <a:cs typeface="+mn-cs"/>
            </a:rPr>
          </a:br>
          <a:endParaRPr lang="en-US"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total of nursing homes reporting 0 administrator hours does not include nursing homes that reported invalid admin data (N = 50).</a:t>
          </a:r>
          <a:endParaRPr lang="en-US" sz="11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What is staff HPRD? </a:t>
          </a:r>
          <a:r>
            <a:rPr lang="en-US" sz="1100" b="0" i="0">
              <a:solidFill>
                <a:schemeClr val="dk1"/>
              </a:solidFill>
              <a:effectLst/>
              <a:latin typeface="+mn-lt"/>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lang="en-US" sz="1100" b="1" i="0">
              <a:solidFill>
                <a:schemeClr val="dk1"/>
              </a:solidFill>
              <a:effectLst/>
              <a:latin typeface="+mn-lt"/>
              <a:ea typeface="+mn-ea"/>
              <a:cs typeface="+mn-cs"/>
            </a:rPr>
            <a:t>MPRD</a:t>
          </a:r>
          <a:r>
            <a:rPr lang="en-US" sz="1100" b="0" i="0">
              <a:solidFill>
                <a:schemeClr val="dk1"/>
              </a:solidFill>
              <a:effectLst/>
              <a:latin typeface="+mn-lt"/>
              <a:ea typeface="+mn-ea"/>
              <a:cs typeface="+mn-cs"/>
            </a:rPr>
            <a:t> is Minutes Per</a:t>
          </a:r>
          <a:r>
            <a:rPr lang="en-US" sz="1100" b="0" i="0" baseline="0">
              <a:solidFill>
                <a:schemeClr val="dk1"/>
              </a:solidFill>
              <a:effectLst/>
              <a:latin typeface="+mn-lt"/>
              <a:ea typeface="+mn-ea"/>
              <a:cs typeface="+mn-cs"/>
            </a:rPr>
            <a:t> Resident Day.</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mn-lt"/>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mn-lt"/>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mn-lt"/>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Calculating state and national averages:</a:t>
          </a:r>
          <a:r>
            <a:rPr lang="en-US" sz="1100" b="0" i="0" u="none" strike="noStrike">
              <a:solidFill>
                <a:schemeClr val="dk1"/>
              </a:solidFill>
              <a:effectLst/>
              <a:latin typeface="+mn-lt"/>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lang="en-US" sz="1100" b="1" i="0" u="none" strike="noStrike">
              <a:solidFill>
                <a:schemeClr val="dk1"/>
              </a:solidFill>
              <a:effectLst/>
              <a:latin typeface="+mn-lt"/>
              <a:ea typeface="+mn-ea"/>
              <a:cs typeface="+mn-cs"/>
            </a:rPr>
          </a:b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on Payroll-Based Journal (PBJ) staffing data. (1) </a:t>
          </a:r>
          <a:r>
            <a:rPr lang="en-US" sz="1100" b="0" i="0" u="none" strike="noStrike">
              <a:solidFill>
                <a:schemeClr val="dk1"/>
              </a:solidFill>
              <a:effectLst/>
              <a:latin typeface="+mn-lt"/>
              <a:ea typeface="+mn-ea"/>
              <a:cs typeface="+mn-cs"/>
            </a:rPr>
            <a:t>Facility staff averages are determined based on PBJ reporting </a:t>
          </a:r>
          <a:r>
            <a:rPr lang="en-US" sz="1100" b="1" i="0" u="none" strike="noStrike">
              <a:solidFill>
                <a:schemeClr val="dk1"/>
              </a:solidFill>
              <a:effectLst/>
              <a:latin typeface="+mn-lt"/>
              <a:ea typeface="+mn-ea"/>
              <a:cs typeface="+mn-cs"/>
            </a:rPr>
            <a:t>(2)</a:t>
          </a:r>
          <a:r>
            <a:rPr lang="en-US" sz="1100" b="0" i="0" u="none" strike="noStrike">
              <a:solidFill>
                <a:schemeClr val="dk1"/>
              </a:solidFill>
              <a:effectLst/>
              <a:latin typeface="+mn-lt"/>
              <a:ea typeface="+mn-ea"/>
              <a:cs typeface="+mn-cs"/>
            </a:rPr>
            <a:t> Not all facilities are in compliance with the staff reporting requirement. This may affect averages at the facility, state, and national level. </a:t>
          </a:r>
          <a:r>
            <a:rPr lang="en-US" sz="1100" b="1" i="0" u="none" strike="noStrike">
              <a:solidFill>
                <a:schemeClr val="dk1"/>
              </a:solidFill>
              <a:effectLst/>
              <a:latin typeface="+mn-lt"/>
              <a:ea typeface="+mn-ea"/>
              <a:cs typeface="+mn-cs"/>
            </a:rPr>
            <a:t>(3) </a:t>
          </a:r>
          <a:r>
            <a:rPr lang="en-US" sz="1100" b="0" i="0" u="none" strike="noStrike">
              <a:solidFill>
                <a:schemeClr val="dk1"/>
              </a:solidFill>
              <a:effectLst/>
              <a:latin typeface="+mn-lt"/>
              <a:ea typeface="+mn-ea"/>
              <a:cs typeface="+mn-cs"/>
            </a:rPr>
            <a:t>The list includes Transitional Care Units and pediatric nursing homes, which generally have significantly higher staffing than a typical nursing home. This, too, will impact state and national averages.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 Regions: </a:t>
          </a:r>
          <a:r>
            <a:rPr lang="en-US" sz="1100" b="0" i="0" u="none" strike="noStrike">
              <a:solidFill>
                <a:schemeClr val="dk1"/>
              </a:solidFill>
              <a:effectLst/>
              <a:latin typeface="+mn-lt"/>
              <a:ea typeface="+mn-ea"/>
              <a:cs typeface="+mn-cs"/>
            </a:rPr>
            <a:t>CMS's 10 regional locations serve different states and territories in the United States. For more information on CMS's regional offices, visit https://www.cms.gov/Medicare/Coding/ICD10/CMS-Regional-Offices.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For LTCCC's full Q1 2025 staffing report, visit https://nursinghome411.org/staffing-q1-2025/.</a:t>
          </a:r>
          <a:br>
            <a:rPr lang="en-US" sz="1100" b="1"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600" b="1" i="0" u="none" strike="noStrike">
              <a:solidFill>
                <a:schemeClr val="dk1"/>
              </a:solidFill>
              <a:effectLst/>
              <a:latin typeface="+mn-lt"/>
              <a:ea typeface="+mn-ea"/>
              <a:cs typeface="+mn-cs"/>
            </a:rPr>
            <a:t>Sources</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PBJ Daily Nurse Staffing Data:</a:t>
          </a:r>
          <a:r>
            <a:rPr lang="en-US" sz="1100" b="0" i="0" u="none" strike="noStrike">
              <a:solidFill>
                <a:schemeClr val="dk1"/>
              </a:solidFill>
              <a:effectLst/>
              <a:latin typeface="+mn-lt"/>
              <a:ea typeface="+mn-ea"/>
              <a:cs typeface="+mn-cs"/>
            </a:rPr>
            <a:t> https://data.cms.gov/quality-of-care/payroll-based-journal-daily-nurse-staffing</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PBJ Daily Non-Nurse Staffing Data:</a:t>
          </a:r>
          <a:r>
            <a:rPr lang="en-US" sz="1100" b="0" i="0" u="none" strike="noStrike">
              <a:solidFill>
                <a:schemeClr val="dk1"/>
              </a:solidFill>
              <a:effectLst/>
              <a:latin typeface="+mn-lt"/>
              <a:ea typeface="+mn-ea"/>
              <a:cs typeface="+mn-cs"/>
            </a:rPr>
            <a:t> https://data.cms.gov/quality-of-care/payroll-based-journal-daily-non-nurse-staffing</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Information on payroll-based staff reporting requirements</a:t>
          </a:r>
          <a:r>
            <a:rPr lang="en-US" sz="1100" b="0" i="0" u="none" strike="noStrike">
              <a:solidFill>
                <a:schemeClr val="dk1"/>
              </a:solidFill>
              <a:effectLst/>
              <a:latin typeface="+mn-lt"/>
              <a:ea typeface="+mn-ea"/>
              <a:cs typeface="+mn-cs"/>
            </a:rPr>
            <a:t>: https://www.cms.gov/Medicare/Quality-Initiatives-Patient-Assessment-Instruments/NursingHomeQualityInits/Staffing-Data-Submission-PBJ</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CMS's PBJ Data Dictionary (Nurse):</a:t>
          </a:r>
          <a:r>
            <a:rPr lang="en-US" sz="1100" b="0" i="0" u="none" strike="noStrike">
              <a:solidFill>
                <a:schemeClr val="dk1"/>
              </a:solidFill>
              <a:effectLst/>
              <a:latin typeface="+mn-lt"/>
              <a:ea typeface="+mn-ea"/>
              <a:cs typeface="+mn-cs"/>
            </a:rPr>
            <a:t> https://data.cms.gov/resources/payroll-based-journal-daily-nurse-staffing-data-dictionary</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CMS's PBJ Data Dictionary (Non-Nurse):</a:t>
          </a:r>
          <a:r>
            <a:rPr lang="en-US" sz="1100" b="0" i="0" u="none" strike="noStrike">
              <a:solidFill>
                <a:schemeClr val="dk1"/>
              </a:solidFill>
              <a:effectLst/>
              <a:latin typeface="+mn-lt"/>
              <a:ea typeface="+mn-ea"/>
              <a:cs typeface="+mn-cs"/>
            </a:rPr>
            <a:t> https://data.cms.gov/resources/payroll-based-journal-daily-non-nurse-staffing-data-dictionary</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381001</xdr:colOff>
      <xdr:row>1</xdr:row>
      <xdr:rowOff>2</xdr:rowOff>
    </xdr:from>
    <xdr:to>
      <xdr:col>0</xdr:col>
      <xdr:colOff>6594929</xdr:colOff>
      <xdr:row>50</xdr:row>
      <xdr:rowOff>74041</xdr:rowOff>
    </xdr:to>
    <xdr:sp macro="" textlink="">
      <xdr:nvSpPr>
        <xdr:cNvPr id="2" name="TextBox 1">
          <a:extLst>
            <a:ext uri="{FF2B5EF4-FFF2-40B4-BE49-F238E27FC236}">
              <a16:creationId xmlns:a16="http://schemas.microsoft.com/office/drawing/2014/main" id="{0022BACD-A370-AE4D-B88A-6D13426D81C6}"/>
            </a:ext>
          </a:extLst>
        </xdr:cNvPr>
        <xdr:cNvSpPr txBox="1"/>
      </xdr:nvSpPr>
      <xdr:spPr>
        <a:xfrm>
          <a:off x="381001" y="190502"/>
          <a:ext cx="295728" cy="940853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800" b="1" i="0" u="none" strike="noStrike">
              <a:solidFill>
                <a:schemeClr val="dk1"/>
              </a:solidFill>
              <a:effectLst/>
              <a:latin typeface="+mn-lt"/>
              <a:ea typeface="+mn-ea"/>
              <a:cs typeface="+mn-cs"/>
            </a:rPr>
            <a:t>Data</a:t>
          </a:r>
          <a:r>
            <a:rPr lang="en-US" sz="1800" b="1" i="0" u="none" strike="noStrike" baseline="0">
              <a:solidFill>
                <a:schemeClr val="dk1"/>
              </a:solidFill>
              <a:effectLst/>
              <a:latin typeface="+mn-lt"/>
              <a:ea typeface="+mn-ea"/>
              <a:cs typeface="+mn-cs"/>
            </a:rPr>
            <a:t> Notes</a:t>
          </a:r>
          <a:br>
            <a:rPr lang="en-US" sz="1100" b="1" i="0" u="none" strike="noStrike">
              <a:solidFill>
                <a:schemeClr val="dk1"/>
              </a:solidFill>
              <a:effectLst/>
              <a:latin typeface="+mn-lt"/>
              <a:ea typeface="+mn-ea"/>
              <a:cs typeface="+mn-cs"/>
            </a:rPr>
          </a:br>
          <a:endParaRPr lang="en-US"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total of nursing homes reporting 0 administrator hours does not include nursing homes that reported invalid admin data (N = 50).</a:t>
          </a:r>
          <a:endParaRPr lang="en-US" sz="11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What is staff HPRD? </a:t>
          </a:r>
          <a:r>
            <a:rPr lang="en-US" sz="1100" b="0" i="0">
              <a:solidFill>
                <a:schemeClr val="dk1"/>
              </a:solidFill>
              <a:effectLst/>
              <a:latin typeface="+mn-lt"/>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lang="en-US" sz="1100" b="1" i="0">
              <a:solidFill>
                <a:schemeClr val="dk1"/>
              </a:solidFill>
              <a:effectLst/>
              <a:latin typeface="+mn-lt"/>
              <a:ea typeface="+mn-ea"/>
              <a:cs typeface="+mn-cs"/>
            </a:rPr>
            <a:t>MPRD</a:t>
          </a:r>
          <a:r>
            <a:rPr lang="en-US" sz="1100" b="0" i="0">
              <a:solidFill>
                <a:schemeClr val="dk1"/>
              </a:solidFill>
              <a:effectLst/>
              <a:latin typeface="+mn-lt"/>
              <a:ea typeface="+mn-ea"/>
              <a:cs typeface="+mn-cs"/>
            </a:rPr>
            <a:t> is Minutes Per</a:t>
          </a:r>
          <a:r>
            <a:rPr lang="en-US" sz="1100" b="0" i="0" baseline="0">
              <a:solidFill>
                <a:schemeClr val="dk1"/>
              </a:solidFill>
              <a:effectLst/>
              <a:latin typeface="+mn-lt"/>
              <a:ea typeface="+mn-ea"/>
              <a:cs typeface="+mn-cs"/>
            </a:rPr>
            <a:t> Resident Day.</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mn-lt"/>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mn-lt"/>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mn-lt"/>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Calculating state and national averages:</a:t>
          </a:r>
          <a:r>
            <a:rPr lang="en-US" sz="1100" b="0" i="0" u="none" strike="noStrike">
              <a:solidFill>
                <a:schemeClr val="dk1"/>
              </a:solidFill>
              <a:effectLst/>
              <a:latin typeface="+mn-lt"/>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lang="en-US" sz="1100" b="1" i="0" u="none" strike="noStrike">
              <a:solidFill>
                <a:schemeClr val="dk1"/>
              </a:solidFill>
              <a:effectLst/>
              <a:latin typeface="+mn-lt"/>
              <a:ea typeface="+mn-ea"/>
              <a:cs typeface="+mn-cs"/>
            </a:rPr>
          </a:b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on Payroll-Based Journal (PBJ) staffing data. (1) </a:t>
          </a:r>
          <a:r>
            <a:rPr lang="en-US" sz="1100" b="0" i="0" u="none" strike="noStrike">
              <a:solidFill>
                <a:schemeClr val="dk1"/>
              </a:solidFill>
              <a:effectLst/>
              <a:latin typeface="+mn-lt"/>
              <a:ea typeface="+mn-ea"/>
              <a:cs typeface="+mn-cs"/>
            </a:rPr>
            <a:t>Facility staff averages are determined based on PBJ reporting </a:t>
          </a:r>
          <a:r>
            <a:rPr lang="en-US" sz="1100" b="1" i="0" u="none" strike="noStrike">
              <a:solidFill>
                <a:schemeClr val="dk1"/>
              </a:solidFill>
              <a:effectLst/>
              <a:latin typeface="+mn-lt"/>
              <a:ea typeface="+mn-ea"/>
              <a:cs typeface="+mn-cs"/>
            </a:rPr>
            <a:t>(2)</a:t>
          </a:r>
          <a:r>
            <a:rPr lang="en-US" sz="1100" b="0" i="0" u="none" strike="noStrike">
              <a:solidFill>
                <a:schemeClr val="dk1"/>
              </a:solidFill>
              <a:effectLst/>
              <a:latin typeface="+mn-lt"/>
              <a:ea typeface="+mn-ea"/>
              <a:cs typeface="+mn-cs"/>
            </a:rPr>
            <a:t> Not all facilities are in compliance with the staff reporting requirement. This may affect averages at the facility, state, and national level. </a:t>
          </a:r>
          <a:r>
            <a:rPr lang="en-US" sz="1100" b="1" i="0" u="none" strike="noStrike">
              <a:solidFill>
                <a:schemeClr val="dk1"/>
              </a:solidFill>
              <a:effectLst/>
              <a:latin typeface="+mn-lt"/>
              <a:ea typeface="+mn-ea"/>
              <a:cs typeface="+mn-cs"/>
            </a:rPr>
            <a:t>(3) </a:t>
          </a:r>
          <a:r>
            <a:rPr lang="en-US" sz="1100" b="0" i="0" u="none" strike="noStrike">
              <a:solidFill>
                <a:schemeClr val="dk1"/>
              </a:solidFill>
              <a:effectLst/>
              <a:latin typeface="+mn-lt"/>
              <a:ea typeface="+mn-ea"/>
              <a:cs typeface="+mn-cs"/>
            </a:rPr>
            <a:t>The list includes Transitional Care Units and pediatric nursing homes, which generally have significantly higher staffing than a typical nursing home. This, too, will impact state and national averages.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 Regions: </a:t>
          </a:r>
          <a:r>
            <a:rPr lang="en-US" sz="1100" b="0" i="0" u="none" strike="noStrike">
              <a:solidFill>
                <a:schemeClr val="dk1"/>
              </a:solidFill>
              <a:effectLst/>
              <a:latin typeface="+mn-lt"/>
              <a:ea typeface="+mn-ea"/>
              <a:cs typeface="+mn-cs"/>
            </a:rPr>
            <a:t>CMS's 10 regional locations serve different states and territories in the United States. For more information on CMS's regional offices, visit https://www.cms.gov/Medicare/Coding/ICD10/CMS-Regional-Offices.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For LTCCC's full Q1 2025 staffing report, visit https://nursinghome411.org/staffing-q1-2025/.</a:t>
          </a:r>
          <a:br>
            <a:rPr lang="en-US" sz="1100" b="1"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600" b="1" i="0" u="none" strike="noStrike">
              <a:solidFill>
                <a:schemeClr val="dk1"/>
              </a:solidFill>
              <a:effectLst/>
              <a:latin typeface="+mn-lt"/>
              <a:ea typeface="+mn-ea"/>
              <a:cs typeface="+mn-cs"/>
            </a:rPr>
            <a:t>Sources</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PBJ Daily Nurse Staffing Data:</a:t>
          </a:r>
          <a:r>
            <a:rPr lang="en-US" sz="1100" b="0" i="0" u="none" strike="noStrike">
              <a:solidFill>
                <a:schemeClr val="dk1"/>
              </a:solidFill>
              <a:effectLst/>
              <a:latin typeface="+mn-lt"/>
              <a:ea typeface="+mn-ea"/>
              <a:cs typeface="+mn-cs"/>
            </a:rPr>
            <a:t> https://data.cms.gov/quality-of-care/payroll-based-journal-daily-nurse-staffing</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PBJ Daily Non-Nurse Staffing Data:</a:t>
          </a:r>
          <a:r>
            <a:rPr lang="en-US" sz="1100" b="0" i="0" u="none" strike="noStrike">
              <a:solidFill>
                <a:schemeClr val="dk1"/>
              </a:solidFill>
              <a:effectLst/>
              <a:latin typeface="+mn-lt"/>
              <a:ea typeface="+mn-ea"/>
              <a:cs typeface="+mn-cs"/>
            </a:rPr>
            <a:t> https://data.cms.gov/quality-of-care/payroll-based-journal-daily-non-nurse-staffing</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Information on payroll-based staff reporting requirements</a:t>
          </a:r>
          <a:r>
            <a:rPr lang="en-US" sz="1100" b="0" i="0" u="none" strike="noStrike">
              <a:solidFill>
                <a:schemeClr val="dk1"/>
              </a:solidFill>
              <a:effectLst/>
              <a:latin typeface="+mn-lt"/>
              <a:ea typeface="+mn-ea"/>
              <a:cs typeface="+mn-cs"/>
            </a:rPr>
            <a:t>: https://www.cms.gov/Medicare/Quality-Initiatives-Patient-Assessment-Instruments/NursingHomeQualityInits/Staffing-Data-Submission-PBJ</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CMS's PBJ Data Dictionary (Nurse):</a:t>
          </a:r>
          <a:r>
            <a:rPr lang="en-US" sz="1100" b="0" i="0" u="none" strike="noStrike">
              <a:solidFill>
                <a:schemeClr val="dk1"/>
              </a:solidFill>
              <a:effectLst/>
              <a:latin typeface="+mn-lt"/>
              <a:ea typeface="+mn-ea"/>
              <a:cs typeface="+mn-cs"/>
            </a:rPr>
            <a:t> https://data.cms.gov/resources/payroll-based-journal-daily-nurse-staffing-data-dictionary</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CMS's PBJ Data Dictionary (Non-Nurse):</a:t>
          </a:r>
          <a:r>
            <a:rPr lang="en-US" sz="1100" b="0" i="0" u="none" strike="noStrike">
              <a:solidFill>
                <a:schemeClr val="dk1"/>
              </a:solidFill>
              <a:effectLst/>
              <a:latin typeface="+mn-lt"/>
              <a:ea typeface="+mn-ea"/>
              <a:cs typeface="+mn-cs"/>
            </a:rPr>
            <a:t> https://data.cms.gov/resources/payroll-based-journal-daily-non-nurse-staffing-data-dictionary</a:t>
          </a: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richardmollot/Library/CloudStorage/Dropbox/Documents/MedicareMedicaid/Nursing%20Home/SNF%20PBJ%20Data/SNF%20PBJ%202025%20Q1/PBJ-NonNurse-Q1-2025.xlsx" TargetMode="External"/><Relationship Id="rId1" Type="http://schemas.openxmlformats.org/officeDocument/2006/relationships/externalLinkPath" Target="PBJ-NonNurse-Q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n-Nurse"/>
      <sheetName val="Summary Data Non-Nurse"/>
      <sheetName val="Summary NonNurse-USA"/>
      <sheetName val="Summary NonNurse-Region &amp; State"/>
      <sheetName val="Notes &amp; Glossary"/>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DD52FC-234B-354F-9BA3-2C7C99B5DD24}" name="Table1" displayName="Table1" ref="A1:X93" totalsRowShown="0" headerRowDxfId="46" headerRowBorderDxfId="68" tableBorderDxfId="69">
  <autoFilter ref="A1:X93" xr:uid="{78DD52FC-234B-354F-9BA3-2C7C99B5DD24}"/>
  <tableColumns count="24">
    <tableColumn id="1" xr3:uid="{BEA7D827-0025-9046-963F-381DE715CEC8}" name="PROVNAME"/>
    <tableColumn id="2" xr3:uid="{32C69339-F390-FE4F-89A7-DBB4F1B6DDBA}" name="CITY"/>
    <tableColumn id="3" xr3:uid="{2FE1AC7A-8286-FC42-8981-65873EEF3142}" name="COUNTY_NAME"/>
    <tableColumn id="4" xr3:uid="{CF1BE072-D753-5348-981E-C9923348D51E}" name="MDScensus" dataDxfId="67"/>
    <tableColumn id="5" xr3:uid="{C5ADF4CC-0F99-EB40-9E01-3B64BB750AB1}" name="Hrs_Admin" dataDxfId="66"/>
    <tableColumn id="6" xr3:uid="{7D6A0ABA-688E-454A-B879-9DCEAB46E89B}" name="MPRD: Admin" dataDxfId="65"/>
    <tableColumn id="7" xr3:uid="{EC5EE945-529B-3F4A-B1E0-05AF59203048}" name="Hrs_MedDir" dataDxfId="64"/>
    <tableColumn id="8" xr3:uid="{ABF4C854-E94F-2B46-92E0-AD452C162538}" name="MPRD: MedDir" dataDxfId="63"/>
    <tableColumn id="9" xr3:uid="{8B77FF66-73E3-634A-84E0-3FEECADBC343}" name="Hrs_Pharmacist" dataDxfId="62"/>
    <tableColumn id="10" xr3:uid="{C08C8D5E-440A-6641-958B-CDE4050CBE9D}" name="Hrs_Dietician" dataDxfId="61"/>
    <tableColumn id="11" xr3:uid="{C45DA1FC-618D-3A49-9D7B-A027FC058A61}" name="Hrs_PA" dataDxfId="60"/>
    <tableColumn id="12" xr3:uid="{A4BE23E1-4F96-4047-ACEA-6F590914FA08}" name="Hrs_NP" dataDxfId="59"/>
    <tableColumn id="13" xr3:uid="{F64E2AB8-F227-6F46-B4F2-ED2F251E2288}" name="Hrs_SpcLangPath" dataDxfId="58"/>
    <tableColumn id="14" xr3:uid="{B3EE445F-A51E-3B49-92E2-D382794541E9}" name="MPRD: Total Social Work" dataDxfId="57"/>
    <tableColumn id="15" xr3:uid="{E2D91BF2-B967-1D4A-AB13-AEA16D956402}" name="MPRD: Combined Activities" dataDxfId="56"/>
    <tableColumn id="16" xr3:uid="{B3CF1947-62B3-524A-B4E9-582B0321D441}" name="MPRD: OT (incl. Assistant &amp; Aide)" dataDxfId="55"/>
    <tableColumn id="17" xr3:uid="{F3F1C966-E49F-7541-A0B9-FD09F92DA2BA}" name="MPRD: PT (incl. Assistant &amp; Aide)" dataDxfId="54"/>
    <tableColumn id="18" xr3:uid="{4BA71D5C-5610-6541-A055-FC4144BFA569}" name="Hrs_MHSvc" dataDxfId="53"/>
    <tableColumn id="19" xr3:uid="{B2ADC869-E432-6846-A147-0F72F9E6BB62}" name="Hrs_TherRecSpec" dataDxfId="52"/>
    <tableColumn id="20" xr3:uid="{09C895B8-EAFB-864C-983C-D4C7A2568710}" name="Hrs_ClinNrsSpec" dataDxfId="51"/>
    <tableColumn id="21" xr3:uid="{17F277C7-7023-A54F-8829-B240B79448B9}" name="Hrs_FeedAsst" dataDxfId="50"/>
    <tableColumn id="22" xr3:uid="{FC643DEF-A58C-1A42-B3BB-075FFBF39C71}" name="Hrs_RespTher" dataDxfId="49"/>
    <tableColumn id="23" xr3:uid="{18B06254-E347-DA48-ACDE-2CC1807A67F5}" name="Hrs_RespTech" dataDxfId="48"/>
    <tableColumn id="24" xr3:uid="{81C65326-4D97-7543-86C8-CB2C7A20C509}" name="Hrs_OthMD" dataDxfId="47"/>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B2EE92-0FD0-3D44-A6D4-DC784A6BE0DB}" name="Summary91617" displayName="Summary91617" ref="B2:D13" totalsRowShown="0" headerRowDxfId="45" dataDxfId="44" tableBorderDxfId="43">
  <autoFilter ref="B2:D13" xr:uid="{1ED771D8-DBF2-4B5C-9F7D-A59FBB047463}"/>
  <tableColumns count="3">
    <tableColumn id="1" xr3:uid="{E0976D9C-4A8C-274D-8449-34F4E4851339}" name="National - Q1 2025" dataDxfId="42"/>
    <tableColumn id="2" xr3:uid="{ABE42850-149C-0145-B349-6CBE8401F2EC}" name="US Ratio" dataDxfId="41" dataCellStyle="Normal 2 2"/>
    <tableColumn id="3" xr3:uid="{032B1DA2-8750-A04A-9D13-421A73281BB9}" name="Median" dataDxfId="40"/>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A98433-FD2F-8E4A-9D6D-9D1A45DD7FDF}" name="CMSRegion101718" displayName="CMSRegion101718" ref="F2:T12" totalsRowShown="0" headerRowDxfId="39" dataDxfId="38">
  <autoFilter ref="F2:T12" xr:uid="{8DA5A7B1-12B2-4B6A-ACD1-897DD9C7A713}"/>
  <tableColumns count="15">
    <tableColumn id="1" xr3:uid="{84EB0F8E-883B-CF43-8972-56DE92332839}" name="CMS Region Number" dataDxfId="37"/>
    <tableColumn id="2" xr3:uid="{C61B960C-09EB-4D46-B8CD-1981C852126F}" name="Total Census" dataDxfId="36">
      <calculatedColumnFormula>SUMIF([1]!NonNurse[CMS Region Number], CMSRegion101718[[#This Row],[CMS Region Number]], [1]!NonNurse[MDScensus])</calculatedColumnFormula>
    </tableColumn>
    <tableColumn id="8" xr3:uid="{577E5E57-0436-9940-B409-208DEAE767F2}" name="Providers" dataDxfId="35">
      <calculatedColumnFormula>COUNTIF([1]!NonNurse[CMS Region Number], CMSRegion101718[[#This Row],[CMS Region Number]])</calculatedColumnFormula>
    </tableColumn>
    <tableColumn id="14" xr3:uid="{FC76E679-D577-FB41-AAB1-F52C4FF96984}" name="Total Admin MPRD" dataDxfId="34">
      <calculatedColumnFormula>SUMIF([1]!NonNurse[CMS Region Number], CMSRegion101718[[#This Row],[CMS Region Number]], [1]!NonNurse[Hrs_Admin])/SUMIF([1]!NonNurse[CMS Region Number], CMSRegion101718[[#This Row],[CMS Region Number]], [1]!NonNurse[MDScensus])*60</calculatedColumnFormula>
    </tableColumn>
    <tableColumn id="15" xr3:uid="{5D9215D8-0B00-2643-A40D-2339684E3888}" name="Rank: Total Admin MPRD" dataDxfId="33">
      <calculatedColumnFormula>RANK(CMSRegion101718[[#This Row],[Total Admin MPRD]],CMSRegion101718[Total Admin MPRD])</calculatedColumnFormula>
    </tableColumn>
    <tableColumn id="12" xr3:uid="{90F107BC-4777-4E40-98D4-17744A5EA85E}" name="Total MedDir MPRD" dataDxfId="32">
      <calculatedColumnFormula>SUMIF([1]!NonNurse[CMS Region Number], CMSRegion101718[[#This Row],[CMS Region Number]], [1]!NonNurse[Hrs_MedDir])/SUMIF([1]!NonNurse[CMS Region Number], CMSRegion101718[[#This Row],[CMS Region Number]], [1]!NonNurse[MDScensus])*60</calculatedColumnFormula>
    </tableColumn>
    <tableColumn id="13" xr3:uid="{8D05D9A3-B4D8-9C40-B1A0-AD616F0E12A5}" name="Rank: Total MedDir MPRD" dataDxfId="31">
      <calculatedColumnFormula>RANK(CMSRegion101718[[#This Row],[Total MedDir MPRD]],CMSRegion101718[Total MedDir MPRD])</calculatedColumnFormula>
    </tableColumn>
    <tableColumn id="10" xr3:uid="{B5750D0F-3BF1-3343-BCE9-600F6AB380A5}" name="Total Social Work MPRD" dataDxfId="30">
      <calculatedColumnFormula>(SUMIF([1]!NonNurse[CMS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calculatedColumnFormula>
    </tableColumn>
    <tableColumn id="11" xr3:uid="{CD511C70-AA7F-4843-AF74-D165A853D049}" name="Rank: Total Social Work MPRD" dataDxfId="29">
      <calculatedColumnFormula>RANK(CMSRegion101718[[#This Row],[Total Social Work MPRD]],CMSRegion101718[Total Social Work MPRD])</calculatedColumnFormula>
    </tableColumn>
    <tableColumn id="6" xr3:uid="{FDE4077A-6C0B-3D4A-B0E4-6EE15492BE18}" name="Total OT MPRD" dataDxfId="28">
      <calculatedColumnFormula>(SUMIF([1]!NonNurse[CMS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calculatedColumnFormula>
    </tableColumn>
    <tableColumn id="9" xr3:uid="{73535CDC-B4EF-0948-A552-B845F3176B9C}" name="Rank: Total OT MPRD" dataDxfId="27">
      <calculatedColumnFormula>RANK(CMSRegion101718[[#This Row],[Total OT MPRD]],CMSRegion101718[Total OT MPRD])</calculatedColumnFormula>
    </tableColumn>
    <tableColumn id="4" xr3:uid="{5C9807EE-CA5B-D248-A158-FA9447D87704}" name="Total PT MPRD" dataDxfId="26">
      <calculatedColumnFormula>(SUMIF([1]!NonNurse[CMS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calculatedColumnFormula>
    </tableColumn>
    <tableColumn id="5" xr3:uid="{4846379D-F734-1341-B2C1-FBB36B2CB008}" name="Rank: Total PT MPRD" dataDxfId="25">
      <calculatedColumnFormula>RANK(CMSRegion101718[[#This Row],[Total PT MPRD]],CMSRegion101718[Total PT MPRD])</calculatedColumnFormula>
    </tableColumn>
    <tableColumn id="7" xr3:uid="{9FFE5DF7-3FF3-C047-8148-BA9E5AEA857E}" name="Total Activities MPRD" dataDxfId="24">
      <calculatedColumnFormula>(SUMIF([1]!NonNurse[CMS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calculatedColumnFormula>
    </tableColumn>
    <tableColumn id="3" xr3:uid="{228040BA-22E5-7149-858E-ADF0881D3688}" name="Rank: Total Activities MPRD" dataDxfId="23">
      <calculatedColumnFormula>RANK(CMSRegion101718[[#This Row],[Total Activities MPRD]], CMSRegion101718[Total Activities MPRD])</calculatedColumnFormula>
    </tableColumn>
  </tableColumns>
  <tableStyleInfo name="TableStyleMedium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FD1B96-19B6-3043-973C-9D1C32F93776}" name="State112019" displayName="State112019" ref="V2:AJ54" totalsRowShown="0" headerRowDxfId="22" dataDxfId="21">
  <autoFilter ref="V2:AJ54" xr:uid="{3A6DC66B-51AF-4021-A205-FEA1BCFE532F}"/>
  <tableColumns count="15">
    <tableColumn id="1" xr3:uid="{6F2BB5F3-E38D-DB49-925B-BFBC6B1463C6}" name="State" dataDxfId="20"/>
    <tableColumn id="2" xr3:uid="{A5B6D59C-39AC-5A4F-B257-0E6524D2FD77}" name="Total Census" dataDxfId="19">
      <calculatedColumnFormula>SUMIF([1]!NonNurse[STATE], State112019[[#This Row],[State]], [1]!NonNurse[MDScensus])</calculatedColumnFormula>
    </tableColumn>
    <tableColumn id="10" xr3:uid="{426C401F-94C0-E74A-B6F6-AA4EA6D66E24}" name="Providers" dataDxfId="18">
      <calculatedColumnFormula>COUNTIF([1]!NonNurse[STATE], State112019[[#This Row],[State]])</calculatedColumnFormula>
    </tableColumn>
    <tableColumn id="14" xr3:uid="{66437CCE-C795-4447-A0AE-EF84A84F1B5C}" name="Total Admin MPRD" dataDxfId="17">
      <calculatedColumnFormula>SUMIF([1]!NonNurse[STATE], State112019[[#This Row],[State]], [1]!NonNurse[Hrs_Admin])/SUMIF([1]!NonNurse[STATE], State112019[[#This Row],[State]], [1]!NonNurse[MDScensus])*60</calculatedColumnFormula>
    </tableColumn>
    <tableColumn id="15" xr3:uid="{86FF15A2-586C-A547-A259-3B74E1071B67}" name="Rank: Total Admin MPRD" dataDxfId="16">
      <calculatedColumnFormula>RANK(State112019[[#This Row],[Total Admin MPRD]],State112019[Total Admin MPRD])</calculatedColumnFormula>
    </tableColumn>
    <tableColumn id="12" xr3:uid="{484958F6-B15C-E54E-B9E5-C4965B695AD3}" name="Total MedDir MPRD" dataDxfId="15">
      <calculatedColumnFormula>SUMIF([1]!NonNurse[STATE], State112019[[#This Row],[State]], [1]!NonNurse[Hrs_MedDir])/SUMIF([1]!NonNurse[STATE], State112019[[#This Row],[State]], [1]!NonNurse[MDScensus])*60</calculatedColumnFormula>
    </tableColumn>
    <tableColumn id="13" xr3:uid="{8FB295EF-B15E-FB41-B666-F95876459DAE}" name="Rank: Total MedDir MPRD" dataDxfId="14">
      <calculatedColumnFormula>RANK(State112019[[#This Row],[Total MedDir MPRD]],State112019[Total MedDir MPRD])</calculatedColumnFormula>
    </tableColumn>
    <tableColumn id="9" xr3:uid="{9100C456-FFC8-174A-B9D1-10E9ED28BC8E}" name="Total Social Work MPRD" dataDxfId="13">
      <calculatedColumnFormula>(SUMIF([1]!NonNurse[STATE], State112019[[#This Row],[State]], [1]!NonNurse[Hrs_QualSocWrk]) + SUMIF([1]!NonNurse[STATE], State112019[[#This Row],[State]], [1]!NonNurse[Hrs_OthSocWrk])) / SUMIF([1]!NonNurse[STATE], State112019[[#This Row],[State]], [1]!NonNurse[MDScensus]) * 60</calculatedColumnFormula>
    </tableColumn>
    <tableColumn id="11" xr3:uid="{480F78C9-A847-214E-B6B2-E24B6CBCD82E}" name="Rank: Total Social Work MPRD" dataDxfId="12">
      <calculatedColumnFormula>RANK(State112019[[#This Row],[Total Social Work MPRD]],State112019[Total Social Work MPRD])</calculatedColumnFormula>
    </tableColumn>
    <tableColumn id="6" xr3:uid="{CE8D55CC-CFEE-CB45-BB8B-C231D4655A8D}" name="Total OT MPRD" dataDxfId="11">
      <calculatedColumnFormula>(SUMIF([1]!NonNurse[STATE], State112019[[#This Row],[State]], [1]!NonNurse[Hrs_OT]) + SUMIF([1]!NonNurse[STATE], State112019[[#This Row],[State]], [1]!NonNurse[Hrs_OTasst]) + SUMIF([1]!NonNurse[STATE], State112019[[#This Row],[State]], [1]!NonNurse[Hrs_OTaide])) / SUMIF([1]!NonNurse[STATE], State112019[[#This Row],[State]], [1]!NonNurse[MDScensus]) * 60</calculatedColumnFormula>
    </tableColumn>
    <tableColumn id="8" xr3:uid="{F42D6AA6-E4B2-7540-B170-E947347465CC}" name="Rank: Total OT MPRD" dataDxfId="10">
      <calculatedColumnFormula>RANK(State112019[[#This Row],[Total OT MPRD]],State112019[Total OT MPRD])</calculatedColumnFormula>
    </tableColumn>
    <tableColumn id="4" xr3:uid="{B996A5E0-B57E-DB4F-A248-02B9B4C362CF}" name="Total PT MPRD" dataDxfId="9">
      <calculatedColumnFormula>(SUMIF([1]!NonNurse[STATE], State112019[[#This Row],[State]], [1]!NonNurse[Hrs_PT]) + SUMIF([1]!NonNurse[STATE], State112019[[#This Row],[State]], [1]!NonNurse[Hrs_PTasst]) + SUMIF([1]!NonNurse[STATE], State112019[[#This Row],[State]], [1]!NonNurse[Hrs_PTaide])) / SUMIF([1]!NonNurse[STATE], State112019[[#This Row],[State]], [1]!NonNurse[MDScensus]) * 60</calculatedColumnFormula>
    </tableColumn>
    <tableColumn id="5" xr3:uid="{66776899-1757-9445-93A0-7FD330826F3B}" name="Rank: Total PT MPRD" dataDxfId="8">
      <calculatedColumnFormula>RANK(State112019[[#This Row],[Total PT MPRD]],State112019[Total PT MPRD])</calculatedColumnFormula>
    </tableColumn>
    <tableColumn id="7" xr3:uid="{A138F5DF-0276-D142-82C3-6ABACCDD183D}" name="Total Activities MPRD" dataDxfId="7">
      <calculatedColumnFormula>(SUMIF([1]!NonNurse[STATE], State112019[[#This Row],[State]], [1]!NonNurse[Hrs_QualActvProf]) + SUMIF([1]!NonNurse[STATE], State112019[[#This Row],[State]], [1]!NonNurse[Hrs_OthActv])) / SUMIF([1]!NonNurse[STATE], State112019[[#This Row],[State]], [1]!NonNurse[MDScensus]) * 60</calculatedColumnFormula>
    </tableColumn>
    <tableColumn id="3" xr3:uid="{045907E0-BC75-5C40-83B4-1B2CE34EE0D8}" name="Rank: Total Activities MPRD" dataDxfId="6">
      <calculatedColumnFormula>RANK(State112019[[#This Row],[Total Activities MPRD]], State112019[Total Activities MPRD])</calculatedColumnFormula>
    </tableColumn>
  </tableColumns>
  <tableStyleInfo name="TableStyleMedium1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FCC2AC-A0FF-034D-AF61-046A1015A979}" name="Category122120" displayName="Category122120" ref="AL2:AO30" totalsRowShown="0" headerRowDxfId="5" dataDxfId="4">
  <autoFilter ref="AL2:AO30" xr:uid="{565E5F01-F55D-4423-8221-FE9537902289}"/>
  <tableColumns count="4">
    <tableColumn id="1" xr3:uid="{2BA6FD71-0429-0C41-B751-52FA3039E9C9}" name="Staffing Category" dataDxfId="3"/>
    <tableColumn id="2" xr3:uid="{4571D277-A0C5-4046-969E-BFD88DBA2663}" name="US Total Hours" dataDxfId="2"/>
    <tableColumn id="4" xr3:uid="{367DCCFC-C88C-FB41-BD88-C5D1BEB2CE3F}" name="MPRD" dataDxfId="1"/>
    <tableColumn id="3" xr3:uid="{EB39AC77-F00D-724F-8BF0-377D0D60865B}" name="NHs reporting 0" dataDxfId="0">
      <calculatedColumnFormula>COUNTIF(#REF!, 0)</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64EC-FDC7-B44A-8B82-05BB0DAB4E6B}">
  <dimension ref="A1:X93"/>
  <sheetViews>
    <sheetView tabSelected="1" zoomScale="144" workbookViewId="0">
      <pane xSplit="3" ySplit="1" topLeftCell="T2" activePane="bottomRight" state="frozen"/>
      <selection pane="topRight" activeCell="D1" sqref="D1"/>
      <selection pane="bottomLeft" activeCell="A2" sqref="A2"/>
      <selection pane="bottomRight" activeCell="X1" sqref="X1:X1048576"/>
    </sheetView>
  </sheetViews>
  <sheetFormatPr baseColWidth="10" defaultRowHeight="16" x14ac:dyDescent="0.2"/>
  <cols>
    <col min="1" max="1" width="54.6640625" customWidth="1"/>
    <col min="2" max="2" width="22.1640625" customWidth="1"/>
    <col min="3" max="3" width="15.1640625" customWidth="1"/>
    <col min="4" max="4" width="12.5" customWidth="1"/>
    <col min="5" max="5" width="11.83203125" customWidth="1"/>
    <col min="6" max="6" width="13.83203125" customWidth="1"/>
    <col min="7" max="7" width="12.5" customWidth="1"/>
    <col min="8" max="8" width="15.1640625" customWidth="1"/>
    <col min="9" max="9" width="15.5" customWidth="1"/>
    <col min="10" max="10" width="13.83203125" customWidth="1"/>
    <col min="13" max="13" width="10.5" customWidth="1"/>
    <col min="14" max="14" width="10.6640625" customWidth="1"/>
    <col min="15" max="15" width="12.5" customWidth="1"/>
    <col min="16" max="16" width="12.1640625" customWidth="1"/>
    <col min="17" max="17" width="11.6640625" customWidth="1"/>
    <col min="18" max="18" width="12" customWidth="1"/>
    <col min="19" max="19" width="8.83203125" customWidth="1"/>
    <col min="20" max="20" width="9" customWidth="1"/>
    <col min="21" max="21" width="8" customWidth="1"/>
    <col min="22" max="22" width="14.1640625" customWidth="1"/>
    <col min="23" max="23" width="7.6640625" customWidth="1"/>
    <col min="24" max="24" width="7.5" customWidth="1"/>
  </cols>
  <sheetData>
    <row r="1" spans="1:24" s="8" customFormat="1" ht="33" thickBot="1"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5" t="s">
        <v>23</v>
      </c>
    </row>
    <row r="2" spans="1:24" x14ac:dyDescent="0.2">
      <c r="A2" s="1" t="s">
        <v>24</v>
      </c>
      <c r="B2" s="1" t="s">
        <v>25</v>
      </c>
      <c r="C2" s="1" t="s">
        <v>26</v>
      </c>
      <c r="D2" s="2">
        <v>137.01111111111101</v>
      </c>
      <c r="E2" s="2">
        <v>5.25</v>
      </c>
      <c r="F2" s="2">
        <v>2.2990836104127799</v>
      </c>
      <c r="G2" s="2">
        <v>0</v>
      </c>
      <c r="H2" s="2">
        <v>0</v>
      </c>
      <c r="I2" s="2">
        <v>6.1111111111111102E-2</v>
      </c>
      <c r="J2" s="2">
        <v>0</v>
      </c>
      <c r="K2" s="2">
        <v>0</v>
      </c>
      <c r="L2" s="2">
        <v>0</v>
      </c>
      <c r="M2" s="2">
        <v>5.5767777777777701</v>
      </c>
      <c r="N2" s="2">
        <v>4.5190008920606601</v>
      </c>
      <c r="O2" s="2">
        <v>7.9286027086205397</v>
      </c>
      <c r="P2" s="2">
        <v>9.4489173627443002</v>
      </c>
      <c r="Q2" s="2">
        <v>11.920736355526699</v>
      </c>
      <c r="R2" s="2">
        <v>0</v>
      </c>
      <c r="S2" s="2">
        <v>0</v>
      </c>
      <c r="T2" s="2">
        <v>0</v>
      </c>
      <c r="U2" s="2">
        <v>0</v>
      </c>
      <c r="V2" s="2">
        <v>0.25622222222222202</v>
      </c>
      <c r="W2" s="2">
        <v>0</v>
      </c>
      <c r="X2" s="2">
        <v>1.0166666666666599</v>
      </c>
    </row>
    <row r="3" spans="1:24" x14ac:dyDescent="0.2">
      <c r="A3" t="s">
        <v>27</v>
      </c>
      <c r="B3" t="s">
        <v>28</v>
      </c>
      <c r="C3" t="s">
        <v>29</v>
      </c>
      <c r="D3" s="3">
        <v>112.411111111111</v>
      </c>
      <c r="E3" s="3">
        <v>4.9777777777777699</v>
      </c>
      <c r="F3" s="3">
        <v>2.6569141049718201</v>
      </c>
      <c r="G3" s="3">
        <v>0</v>
      </c>
      <c r="H3" s="3">
        <v>0</v>
      </c>
      <c r="I3" s="3">
        <v>0</v>
      </c>
      <c r="J3" s="3">
        <v>37.563888888888798</v>
      </c>
      <c r="K3" s="3">
        <v>0</v>
      </c>
      <c r="L3" s="3">
        <v>0</v>
      </c>
      <c r="M3" s="3">
        <v>5.74722222222222</v>
      </c>
      <c r="N3" s="3">
        <v>17.309973312246701</v>
      </c>
      <c r="O3" s="3">
        <v>13.372047049520599</v>
      </c>
      <c r="P3" s="3">
        <v>16.353662152811999</v>
      </c>
      <c r="Q3" s="3">
        <v>17.1290896510823</v>
      </c>
      <c r="R3" s="3">
        <v>0</v>
      </c>
      <c r="S3" s="3">
        <v>0</v>
      </c>
      <c r="T3" s="3">
        <v>0</v>
      </c>
      <c r="U3" s="3">
        <v>74.3888888888888</v>
      </c>
      <c r="V3" s="3">
        <v>62.961111111111101</v>
      </c>
      <c r="W3" s="3">
        <v>0</v>
      </c>
      <c r="X3" s="3">
        <v>0</v>
      </c>
    </row>
    <row r="4" spans="1:24" x14ac:dyDescent="0.2">
      <c r="A4" s="1" t="s">
        <v>30</v>
      </c>
      <c r="B4" s="1" t="s">
        <v>31</v>
      </c>
      <c r="C4" s="1" t="s">
        <v>29</v>
      </c>
      <c r="D4" s="2">
        <v>187.56666666666601</v>
      </c>
      <c r="E4" s="2">
        <v>4.8333333333333304</v>
      </c>
      <c r="F4" s="2">
        <v>1.5461169362004601</v>
      </c>
      <c r="G4" s="2">
        <v>0.655555555555555</v>
      </c>
      <c r="H4" s="2">
        <v>0.209703216634085</v>
      </c>
      <c r="I4" s="2">
        <v>0</v>
      </c>
      <c r="J4" s="2">
        <v>10.7666666666666</v>
      </c>
      <c r="K4" s="2">
        <v>0</v>
      </c>
      <c r="L4" s="2">
        <v>0</v>
      </c>
      <c r="M4" s="2">
        <v>5.4471111111111101</v>
      </c>
      <c r="N4" s="2">
        <v>5.2301403945263898</v>
      </c>
      <c r="O4" s="2">
        <v>1.61364848054025</v>
      </c>
      <c r="P4" s="2">
        <v>10.1770037320064</v>
      </c>
      <c r="Q4" s="2">
        <v>10.7295894792962</v>
      </c>
      <c r="R4" s="2">
        <v>0</v>
      </c>
      <c r="S4" s="2">
        <v>18.3666666666666</v>
      </c>
      <c r="T4" s="2">
        <v>0</v>
      </c>
      <c r="U4" s="2">
        <v>0</v>
      </c>
      <c r="V4" s="2">
        <v>0</v>
      </c>
      <c r="W4" s="2">
        <v>0</v>
      </c>
      <c r="X4" s="2">
        <v>0</v>
      </c>
    </row>
    <row r="5" spans="1:24" x14ac:dyDescent="0.2">
      <c r="A5" t="s">
        <v>32</v>
      </c>
      <c r="B5" t="s">
        <v>33</v>
      </c>
      <c r="C5" t="s">
        <v>29</v>
      </c>
      <c r="D5" s="3">
        <v>55.8</v>
      </c>
      <c r="E5" s="3">
        <v>5.6111111111111098</v>
      </c>
      <c r="F5" s="3">
        <v>6.0334528076463503</v>
      </c>
      <c r="G5" s="3">
        <v>1.5333333333333301</v>
      </c>
      <c r="H5" s="3">
        <v>1.6487455197132601</v>
      </c>
      <c r="I5" s="3">
        <v>0.41388888888888797</v>
      </c>
      <c r="J5" s="3">
        <v>4.5111111111111102</v>
      </c>
      <c r="K5" s="3">
        <v>0</v>
      </c>
      <c r="L5" s="3">
        <v>0</v>
      </c>
      <c r="M5" s="3">
        <v>0</v>
      </c>
      <c r="N5" s="3">
        <v>5.56451612903225</v>
      </c>
      <c r="O5" s="3">
        <v>18.034647550776501</v>
      </c>
      <c r="P5" s="3">
        <v>6.1230585424133803</v>
      </c>
      <c r="Q5" s="3">
        <v>6.2156511350059702</v>
      </c>
      <c r="R5" s="3">
        <v>0</v>
      </c>
      <c r="S5" s="3">
        <v>0</v>
      </c>
      <c r="T5" s="3">
        <v>0</v>
      </c>
      <c r="U5" s="3">
        <v>0</v>
      </c>
      <c r="V5" s="3">
        <v>0.1</v>
      </c>
      <c r="W5" s="3">
        <v>0</v>
      </c>
      <c r="X5" s="3">
        <v>0</v>
      </c>
    </row>
    <row r="6" spans="1:24" x14ac:dyDescent="0.2">
      <c r="A6" s="1" t="s">
        <v>34</v>
      </c>
      <c r="B6" s="1" t="s">
        <v>35</v>
      </c>
      <c r="C6" s="1" t="s">
        <v>29</v>
      </c>
      <c r="D6" s="2">
        <v>35.544444444444402</v>
      </c>
      <c r="E6" s="2">
        <v>4.6944444444444402</v>
      </c>
      <c r="F6" s="2">
        <v>7.92435135979993</v>
      </c>
      <c r="G6" s="2">
        <v>0.4</v>
      </c>
      <c r="H6" s="2">
        <v>0.67521100343857399</v>
      </c>
      <c r="I6" s="2">
        <v>0.36666666666666597</v>
      </c>
      <c r="J6" s="2">
        <v>3.0454444444444402</v>
      </c>
      <c r="K6" s="2">
        <v>0</v>
      </c>
      <c r="L6" s="2">
        <v>0</v>
      </c>
      <c r="M6" s="2">
        <v>0.224444444444444</v>
      </c>
      <c r="N6" s="2">
        <v>6.0097530478274397</v>
      </c>
      <c r="O6" s="2">
        <v>3.8140043763676101</v>
      </c>
      <c r="P6" s="2">
        <v>9.5424195060956496</v>
      </c>
      <c r="Q6" s="2">
        <v>19.174116911534799</v>
      </c>
      <c r="R6" s="2">
        <v>0</v>
      </c>
      <c r="S6" s="2">
        <v>5.0256666666666598</v>
      </c>
      <c r="T6" s="2">
        <v>0</v>
      </c>
      <c r="U6" s="2">
        <v>0</v>
      </c>
      <c r="V6" s="2">
        <v>0</v>
      </c>
      <c r="W6" s="2">
        <v>0</v>
      </c>
      <c r="X6" s="2">
        <v>0</v>
      </c>
    </row>
    <row r="7" spans="1:24" x14ac:dyDescent="0.2">
      <c r="A7" t="s">
        <v>36</v>
      </c>
      <c r="B7" t="s">
        <v>37</v>
      </c>
      <c r="C7" t="s">
        <v>29</v>
      </c>
      <c r="D7" s="3">
        <v>112.9</v>
      </c>
      <c r="E7" s="3">
        <v>5.3333333333333304</v>
      </c>
      <c r="F7" s="3">
        <v>2.8343666961913101</v>
      </c>
      <c r="G7" s="3">
        <v>0</v>
      </c>
      <c r="H7" s="3">
        <v>0</v>
      </c>
      <c r="I7" s="3">
        <v>0</v>
      </c>
      <c r="J7" s="3">
        <v>0</v>
      </c>
      <c r="K7" s="3">
        <v>0</v>
      </c>
      <c r="L7" s="3">
        <v>0</v>
      </c>
      <c r="M7" s="3">
        <v>4.9172222222222199</v>
      </c>
      <c r="N7" s="3">
        <v>4.2635370534396202</v>
      </c>
      <c r="O7" s="3">
        <v>10.065662828461701</v>
      </c>
      <c r="P7" s="3">
        <v>16.672276350752799</v>
      </c>
      <c r="Q7" s="3">
        <v>13.628638913492701</v>
      </c>
      <c r="R7" s="3">
        <v>0</v>
      </c>
      <c r="S7" s="3">
        <v>0</v>
      </c>
      <c r="T7" s="3">
        <v>0</v>
      </c>
      <c r="U7" s="3">
        <v>0</v>
      </c>
      <c r="V7" s="3">
        <v>0</v>
      </c>
      <c r="W7" s="3">
        <v>0</v>
      </c>
      <c r="X7" s="3">
        <v>0</v>
      </c>
    </row>
    <row r="8" spans="1:24" x14ac:dyDescent="0.2">
      <c r="A8" s="1" t="s">
        <v>38</v>
      </c>
      <c r="B8" s="1" t="s">
        <v>39</v>
      </c>
      <c r="C8" s="1" t="s">
        <v>40</v>
      </c>
      <c r="D8" s="2">
        <v>98.966666666666598</v>
      </c>
      <c r="E8" s="2">
        <v>5.9594444444444399</v>
      </c>
      <c r="F8" s="2">
        <v>3.61300101044122</v>
      </c>
      <c r="G8" s="2">
        <v>0</v>
      </c>
      <c r="H8" s="2">
        <v>0</v>
      </c>
      <c r="I8" s="2">
        <v>0</v>
      </c>
      <c r="J8" s="2">
        <v>3.30711111111111</v>
      </c>
      <c r="K8" s="2">
        <v>0</v>
      </c>
      <c r="L8" s="2">
        <v>0</v>
      </c>
      <c r="M8" s="2">
        <v>0</v>
      </c>
      <c r="N8" s="2">
        <v>6.0368474233748701</v>
      </c>
      <c r="O8" s="2">
        <v>13.330010104412199</v>
      </c>
      <c r="P8" s="2">
        <v>8.7942068036375804</v>
      </c>
      <c r="Q8" s="2">
        <v>9.3886156955203699</v>
      </c>
      <c r="R8" s="2">
        <v>0</v>
      </c>
      <c r="S8" s="2">
        <v>0</v>
      </c>
      <c r="T8" s="2">
        <v>0</v>
      </c>
      <c r="U8" s="2">
        <v>0</v>
      </c>
      <c r="V8" s="2">
        <v>0</v>
      </c>
      <c r="W8" s="2">
        <v>0</v>
      </c>
      <c r="X8" s="2">
        <v>0</v>
      </c>
    </row>
    <row r="9" spans="1:24" x14ac:dyDescent="0.2">
      <c r="A9" t="s">
        <v>41</v>
      </c>
      <c r="B9" t="s">
        <v>35</v>
      </c>
      <c r="C9" t="s">
        <v>29</v>
      </c>
      <c r="D9" s="3">
        <v>143.52222222222201</v>
      </c>
      <c r="E9" s="3">
        <v>5.24444444444444</v>
      </c>
      <c r="F9" s="3">
        <v>2.1924595494309802</v>
      </c>
      <c r="G9" s="3">
        <v>0.4</v>
      </c>
      <c r="H9" s="3">
        <v>0.16722149105829501</v>
      </c>
      <c r="I9" s="3">
        <v>1.6666666666666601</v>
      </c>
      <c r="J9" s="3">
        <v>6.3361111111111104</v>
      </c>
      <c r="K9" s="3">
        <v>0</v>
      </c>
      <c r="L9" s="3">
        <v>0</v>
      </c>
      <c r="M9" s="3">
        <v>5.3145555555555504</v>
      </c>
      <c r="N9" s="3">
        <v>4.7182008206239798</v>
      </c>
      <c r="O9" s="3">
        <v>11.187582255941701</v>
      </c>
      <c r="P9" s="3">
        <v>11.831477897344501</v>
      </c>
      <c r="Q9" s="3">
        <v>13.0298985832623</v>
      </c>
      <c r="R9" s="3">
        <v>0</v>
      </c>
      <c r="S9" s="3">
        <v>0</v>
      </c>
      <c r="T9" s="3">
        <v>0</v>
      </c>
      <c r="U9" s="3">
        <v>0</v>
      </c>
      <c r="V9" s="3">
        <v>4.6694444444444398</v>
      </c>
      <c r="W9" s="3">
        <v>0</v>
      </c>
      <c r="X9" s="3">
        <v>0</v>
      </c>
    </row>
    <row r="10" spans="1:24" x14ac:dyDescent="0.2">
      <c r="A10" s="1" t="s">
        <v>42</v>
      </c>
      <c r="B10" s="1" t="s">
        <v>43</v>
      </c>
      <c r="C10" s="1" t="s">
        <v>29</v>
      </c>
      <c r="D10" s="2">
        <v>115.555555555555</v>
      </c>
      <c r="E10" s="2">
        <v>5.6888888888888802</v>
      </c>
      <c r="F10" s="2">
        <v>2.95384615384615</v>
      </c>
      <c r="G10" s="2">
        <v>0</v>
      </c>
      <c r="H10" s="2">
        <v>0</v>
      </c>
      <c r="I10" s="2">
        <v>0</v>
      </c>
      <c r="J10" s="2">
        <v>13.163888888888801</v>
      </c>
      <c r="K10" s="2">
        <v>0</v>
      </c>
      <c r="L10" s="2">
        <v>0</v>
      </c>
      <c r="M10" s="2">
        <v>5.18611111111111</v>
      </c>
      <c r="N10" s="2">
        <v>5.1274038461538396</v>
      </c>
      <c r="O10" s="2">
        <v>8.2586538461538392</v>
      </c>
      <c r="P10" s="2">
        <v>12.6</v>
      </c>
      <c r="Q10" s="2">
        <v>13.739423076923</v>
      </c>
      <c r="R10" s="2">
        <v>0</v>
      </c>
      <c r="S10" s="2">
        <v>1.0388888888888801</v>
      </c>
      <c r="T10" s="2">
        <v>0</v>
      </c>
      <c r="U10" s="2">
        <v>0</v>
      </c>
      <c r="V10" s="2">
        <v>4.3944444444444404</v>
      </c>
      <c r="W10" s="2">
        <v>0</v>
      </c>
      <c r="X10" s="2">
        <v>0</v>
      </c>
    </row>
    <row r="11" spans="1:24" x14ac:dyDescent="0.2">
      <c r="A11" t="s">
        <v>44</v>
      </c>
      <c r="B11" t="s">
        <v>33</v>
      </c>
      <c r="C11" t="s">
        <v>29</v>
      </c>
      <c r="D11" s="3">
        <v>189.266666666666</v>
      </c>
      <c r="E11" s="3">
        <v>5.3333333333333304</v>
      </c>
      <c r="F11" s="3">
        <v>1.6907361747094001</v>
      </c>
      <c r="G11" s="3">
        <v>1.6666666666666601</v>
      </c>
      <c r="H11" s="3">
        <v>0.52835505459668897</v>
      </c>
      <c r="I11" s="3">
        <v>0</v>
      </c>
      <c r="J11" s="3">
        <v>5.43288888888888</v>
      </c>
      <c r="K11" s="3">
        <v>0</v>
      </c>
      <c r="L11" s="3">
        <v>0</v>
      </c>
      <c r="M11" s="3">
        <v>12.5277777777777</v>
      </c>
      <c r="N11" s="3">
        <v>6.6977809087706897</v>
      </c>
      <c r="O11" s="3">
        <v>9.2001056710109097</v>
      </c>
      <c r="P11" s="3">
        <v>15.0308207115181</v>
      </c>
      <c r="Q11" s="3">
        <v>20.914054244452199</v>
      </c>
      <c r="R11" s="3">
        <v>0</v>
      </c>
      <c r="S11" s="3">
        <v>0</v>
      </c>
      <c r="T11" s="3">
        <v>0</v>
      </c>
      <c r="U11" s="3">
        <v>0</v>
      </c>
      <c r="V11" s="3">
        <v>47.318111111111101</v>
      </c>
      <c r="W11" s="3">
        <v>0</v>
      </c>
      <c r="X11" s="3">
        <v>0</v>
      </c>
    </row>
    <row r="12" spans="1:24" x14ac:dyDescent="0.2">
      <c r="A12" s="1" t="s">
        <v>45</v>
      </c>
      <c r="B12" s="1" t="s">
        <v>28</v>
      </c>
      <c r="C12" s="1" t="s">
        <v>29</v>
      </c>
      <c r="D12" s="2">
        <v>166.6</v>
      </c>
      <c r="E12" s="2">
        <v>6.5666666666666602</v>
      </c>
      <c r="F12" s="2">
        <v>2.3649459783913498</v>
      </c>
      <c r="G12" s="2">
        <v>5.2555555555555502</v>
      </c>
      <c r="H12" s="2">
        <v>1.8927571028411301</v>
      </c>
      <c r="I12" s="2">
        <v>24.6666666666666</v>
      </c>
      <c r="J12" s="2">
        <v>21.9444444444444</v>
      </c>
      <c r="K12" s="2">
        <v>0</v>
      </c>
      <c r="L12" s="2">
        <v>44.625</v>
      </c>
      <c r="M12" s="2">
        <v>31.3944444444444</v>
      </c>
      <c r="N12" s="2">
        <v>8.9725890356142397</v>
      </c>
      <c r="O12" s="2">
        <v>26.515606242497</v>
      </c>
      <c r="P12" s="2">
        <v>12.3819527811124</v>
      </c>
      <c r="Q12" s="2">
        <v>8.2199679871948792</v>
      </c>
      <c r="R12" s="2">
        <v>0</v>
      </c>
      <c r="S12" s="2">
        <v>57.480555555555497</v>
      </c>
      <c r="T12" s="2">
        <v>0</v>
      </c>
      <c r="U12" s="2">
        <v>65.044444444444395</v>
      </c>
      <c r="V12" s="2">
        <v>212.02500000000001</v>
      </c>
      <c r="W12" s="2">
        <v>0</v>
      </c>
      <c r="X12" s="2">
        <v>18.3527777777777</v>
      </c>
    </row>
    <row r="13" spans="1:24" x14ac:dyDescent="0.2">
      <c r="A13" t="s">
        <v>46</v>
      </c>
      <c r="B13" t="s">
        <v>47</v>
      </c>
      <c r="C13" t="s">
        <v>29</v>
      </c>
      <c r="D13" s="3">
        <v>145.63333333333301</v>
      </c>
      <c r="E13" s="3">
        <v>4.9777777777777699</v>
      </c>
      <c r="F13" s="3">
        <v>2.05081254291599</v>
      </c>
      <c r="G13" s="3">
        <v>0.57777777777777695</v>
      </c>
      <c r="H13" s="3">
        <v>0.238040741588464</v>
      </c>
      <c r="I13" s="3">
        <v>1.0944444444444399</v>
      </c>
      <c r="J13" s="3">
        <v>5.2972222222222198</v>
      </c>
      <c r="K13" s="3">
        <v>0</v>
      </c>
      <c r="L13" s="3">
        <v>0</v>
      </c>
      <c r="M13" s="3">
        <v>6.4852222222222196</v>
      </c>
      <c r="N13" s="3">
        <v>5.8789196612497099</v>
      </c>
      <c r="O13" s="3">
        <v>15.2208743419546</v>
      </c>
      <c r="P13" s="3">
        <v>21.261158159761901</v>
      </c>
      <c r="Q13" s="3">
        <v>25.2826733806363</v>
      </c>
      <c r="R13" s="3">
        <v>0</v>
      </c>
      <c r="S13" s="3">
        <v>0</v>
      </c>
      <c r="T13" s="3">
        <v>0</v>
      </c>
      <c r="U13" s="3">
        <v>0</v>
      </c>
      <c r="V13" s="3">
        <v>6.23888888888888</v>
      </c>
      <c r="W13" s="3">
        <v>0</v>
      </c>
      <c r="X13" s="3">
        <v>0</v>
      </c>
    </row>
    <row r="14" spans="1:24" x14ac:dyDescent="0.2">
      <c r="A14" s="1" t="s">
        <v>48</v>
      </c>
      <c r="B14" s="1" t="s">
        <v>49</v>
      </c>
      <c r="C14" s="1" t="s">
        <v>50</v>
      </c>
      <c r="D14" s="2">
        <v>251.42222222222199</v>
      </c>
      <c r="E14" s="2">
        <v>8.6666666666666607</v>
      </c>
      <c r="F14" s="2">
        <v>2.0682340463142999</v>
      </c>
      <c r="G14" s="2">
        <v>3.57788888888888</v>
      </c>
      <c r="H14" s="2">
        <v>0.85383595545341995</v>
      </c>
      <c r="I14" s="2">
        <v>0</v>
      </c>
      <c r="J14" s="2">
        <v>10.311111111111099</v>
      </c>
      <c r="K14" s="2">
        <v>0</v>
      </c>
      <c r="L14" s="2">
        <v>1.7330000000000001</v>
      </c>
      <c r="M14" s="2">
        <v>5.24166666666666</v>
      </c>
      <c r="N14" s="2">
        <v>4.05692062930882</v>
      </c>
      <c r="O14" s="2">
        <v>7.7166077426197601</v>
      </c>
      <c r="P14" s="2">
        <v>5.9846208237581697</v>
      </c>
      <c r="Q14" s="2">
        <v>4.5083524836485704</v>
      </c>
      <c r="R14" s="2">
        <v>0</v>
      </c>
      <c r="S14" s="2">
        <v>8.5361111111111097</v>
      </c>
      <c r="T14" s="2">
        <v>3.68333333333333</v>
      </c>
      <c r="U14" s="2">
        <v>0</v>
      </c>
      <c r="V14" s="2">
        <v>0</v>
      </c>
      <c r="W14" s="2">
        <v>0</v>
      </c>
      <c r="X14" s="2">
        <v>1.45122222222222</v>
      </c>
    </row>
    <row r="15" spans="1:24" x14ac:dyDescent="0.2">
      <c r="A15" t="s">
        <v>51</v>
      </c>
      <c r="B15" t="s">
        <v>52</v>
      </c>
      <c r="C15" t="s">
        <v>50</v>
      </c>
      <c r="D15" s="3">
        <v>152</v>
      </c>
      <c r="E15" s="3">
        <v>9.3333333333333304</v>
      </c>
      <c r="F15" s="3">
        <v>3.6842105263157801</v>
      </c>
      <c r="G15" s="3">
        <v>0</v>
      </c>
      <c r="H15" s="3">
        <v>0</v>
      </c>
      <c r="I15" s="3">
        <v>0</v>
      </c>
      <c r="J15" s="3">
        <v>9.9555555555555504</v>
      </c>
      <c r="K15" s="3">
        <v>0</v>
      </c>
      <c r="L15" s="3">
        <v>0</v>
      </c>
      <c r="M15" s="3">
        <v>6.3777777777777702</v>
      </c>
      <c r="N15" s="3">
        <v>4.2763157894736796</v>
      </c>
      <c r="O15" s="3">
        <v>0</v>
      </c>
      <c r="P15" s="3">
        <v>14.771929824561401</v>
      </c>
      <c r="Q15" s="3">
        <v>13.3881578947368</v>
      </c>
      <c r="R15" s="3">
        <v>0</v>
      </c>
      <c r="S15" s="3">
        <v>26.7144444444444</v>
      </c>
      <c r="T15" s="3">
        <v>0</v>
      </c>
      <c r="U15" s="3">
        <v>0</v>
      </c>
      <c r="V15" s="3">
        <v>0</v>
      </c>
      <c r="W15" s="3">
        <v>0</v>
      </c>
      <c r="X15" s="3">
        <v>0</v>
      </c>
    </row>
    <row r="16" spans="1:24" x14ac:dyDescent="0.2">
      <c r="A16" s="1" t="s">
        <v>53</v>
      </c>
      <c r="B16" s="1" t="s">
        <v>54</v>
      </c>
      <c r="C16" s="1" t="s">
        <v>55</v>
      </c>
      <c r="D16" s="2">
        <v>171.944444444444</v>
      </c>
      <c r="E16" s="2">
        <v>4.99444444444444</v>
      </c>
      <c r="F16" s="2">
        <v>1.7428109854604199</v>
      </c>
      <c r="G16" s="2">
        <v>3.55555555555555</v>
      </c>
      <c r="H16" s="2">
        <v>1.2407108239095299</v>
      </c>
      <c r="I16" s="2">
        <v>0</v>
      </c>
      <c r="J16" s="2">
        <v>0</v>
      </c>
      <c r="K16" s="2">
        <v>0</v>
      </c>
      <c r="L16" s="2">
        <v>0</v>
      </c>
      <c r="M16" s="2">
        <v>12.5055555555555</v>
      </c>
      <c r="N16" s="2">
        <v>5.4707592891760903</v>
      </c>
      <c r="O16" s="2">
        <v>10.8949919224555</v>
      </c>
      <c r="P16" s="2">
        <v>13.350242326332699</v>
      </c>
      <c r="Q16" s="2">
        <v>15.869466882067799</v>
      </c>
      <c r="R16" s="2">
        <v>0</v>
      </c>
      <c r="S16" s="2">
        <v>0</v>
      </c>
      <c r="T16" s="2">
        <v>0</v>
      </c>
      <c r="U16" s="2">
        <v>0</v>
      </c>
      <c r="V16" s="2">
        <v>50.213888888888803</v>
      </c>
      <c r="W16" s="2">
        <v>0</v>
      </c>
      <c r="X16" s="2">
        <v>2.8444444444444401</v>
      </c>
    </row>
    <row r="17" spans="1:24" x14ac:dyDescent="0.2">
      <c r="A17" t="s">
        <v>56</v>
      </c>
      <c r="B17" t="s">
        <v>57</v>
      </c>
      <c r="C17" t="s">
        <v>58</v>
      </c>
      <c r="D17" s="3">
        <v>112.533333333333</v>
      </c>
      <c r="E17" s="3">
        <v>4.9966666666666599</v>
      </c>
      <c r="F17" s="3">
        <v>2.6640995260663498</v>
      </c>
      <c r="G17" s="3">
        <v>0</v>
      </c>
      <c r="H17" s="3">
        <v>0</v>
      </c>
      <c r="I17" s="3">
        <v>0</v>
      </c>
      <c r="J17" s="3">
        <v>3.6722222222222198</v>
      </c>
      <c r="K17" s="3">
        <v>0</v>
      </c>
      <c r="L17" s="3">
        <v>0</v>
      </c>
      <c r="M17" s="3">
        <v>1.0988888888888799</v>
      </c>
      <c r="N17" s="3">
        <v>3.68720379146919</v>
      </c>
      <c r="O17" s="3">
        <v>7.6907582938388597</v>
      </c>
      <c r="P17" s="3">
        <v>8.7618483412322199</v>
      </c>
      <c r="Q17" s="3">
        <v>10.281398104265399</v>
      </c>
      <c r="R17" s="3">
        <v>0</v>
      </c>
      <c r="S17" s="3">
        <v>0</v>
      </c>
      <c r="T17" s="3">
        <v>0</v>
      </c>
      <c r="U17" s="3">
        <v>0</v>
      </c>
      <c r="V17" s="3">
        <v>0</v>
      </c>
      <c r="W17" s="3">
        <v>0</v>
      </c>
      <c r="X17" s="3">
        <v>0</v>
      </c>
    </row>
    <row r="18" spans="1:24" x14ac:dyDescent="0.2">
      <c r="A18" s="1" t="s">
        <v>59</v>
      </c>
      <c r="B18" s="1" t="s">
        <v>60</v>
      </c>
      <c r="C18" s="1" t="s">
        <v>40</v>
      </c>
      <c r="D18" s="2">
        <v>35.799999999999997</v>
      </c>
      <c r="E18" s="2">
        <v>4.8166666666666602</v>
      </c>
      <c r="F18" s="2">
        <v>8.0726256983240194</v>
      </c>
      <c r="G18" s="2">
        <v>0.6</v>
      </c>
      <c r="H18" s="2">
        <v>1.0055865921787699</v>
      </c>
      <c r="I18" s="2">
        <v>0</v>
      </c>
      <c r="J18" s="2">
        <v>1.81511111111111</v>
      </c>
      <c r="K18" s="2">
        <v>0</v>
      </c>
      <c r="L18" s="2">
        <v>0</v>
      </c>
      <c r="M18" s="2">
        <v>0.62677777777777699</v>
      </c>
      <c r="N18" s="2">
        <v>6.9765363128491602</v>
      </c>
      <c r="O18" s="2">
        <v>14.313035381750399</v>
      </c>
      <c r="P18" s="2">
        <v>14.8651769087523</v>
      </c>
      <c r="Q18" s="2">
        <v>15.141527001862199</v>
      </c>
      <c r="R18" s="2">
        <v>0</v>
      </c>
      <c r="S18" s="2">
        <v>9.3418888888888798</v>
      </c>
      <c r="T18" s="2">
        <v>1.7777777777777699</v>
      </c>
      <c r="U18" s="2">
        <v>0</v>
      </c>
      <c r="V18" s="2">
        <v>0</v>
      </c>
      <c r="W18" s="2">
        <v>0</v>
      </c>
      <c r="X18" s="2">
        <v>0</v>
      </c>
    </row>
    <row r="19" spans="1:24" x14ac:dyDescent="0.2">
      <c r="A19" t="s">
        <v>61</v>
      </c>
      <c r="B19" t="s">
        <v>33</v>
      </c>
      <c r="C19" t="s">
        <v>29</v>
      </c>
      <c r="D19" s="3">
        <v>180.47777777777699</v>
      </c>
      <c r="E19" s="3">
        <v>5.0833333333333304</v>
      </c>
      <c r="F19" s="3">
        <v>1.6899587514621599</v>
      </c>
      <c r="G19" s="3">
        <v>0.86666666666666603</v>
      </c>
      <c r="H19" s="3">
        <v>0.28812411500338603</v>
      </c>
      <c r="I19" s="3">
        <v>0</v>
      </c>
      <c r="J19" s="3">
        <v>4.5833333333333304</v>
      </c>
      <c r="K19" s="3">
        <v>0</v>
      </c>
      <c r="L19" s="3">
        <v>0</v>
      </c>
      <c r="M19" s="3">
        <v>5.42777777777777</v>
      </c>
      <c r="N19" s="3">
        <v>1.7721480022163301</v>
      </c>
      <c r="O19" s="3">
        <v>9.4194422212645392</v>
      </c>
      <c r="P19" s="3">
        <v>9.4748507049190405</v>
      </c>
      <c r="Q19" s="3">
        <v>12.143692667610599</v>
      </c>
      <c r="R19" s="3">
        <v>0</v>
      </c>
      <c r="S19" s="3">
        <v>4.3333333333333304</v>
      </c>
      <c r="T19" s="3">
        <v>0</v>
      </c>
      <c r="U19" s="3">
        <v>0</v>
      </c>
      <c r="V19" s="3">
        <v>0.75</v>
      </c>
      <c r="W19" s="3">
        <v>0</v>
      </c>
      <c r="X19" s="3">
        <v>0</v>
      </c>
    </row>
    <row r="20" spans="1:24" x14ac:dyDescent="0.2">
      <c r="A20" s="1" t="s">
        <v>62</v>
      </c>
      <c r="B20" s="1" t="s">
        <v>63</v>
      </c>
      <c r="C20" s="1" t="s">
        <v>64</v>
      </c>
      <c r="D20" s="2">
        <v>248</v>
      </c>
      <c r="E20" s="2">
        <v>5.4219999999999997</v>
      </c>
      <c r="F20" s="2">
        <v>1.31177419354838</v>
      </c>
      <c r="G20" s="2">
        <v>1.0222222222222199</v>
      </c>
      <c r="H20" s="2">
        <v>0.247311827956989</v>
      </c>
      <c r="I20" s="2">
        <v>0</v>
      </c>
      <c r="J20" s="2">
        <v>10.9333333333333</v>
      </c>
      <c r="K20" s="2">
        <v>0</v>
      </c>
      <c r="L20" s="2">
        <v>5.4222222222222198</v>
      </c>
      <c r="M20" s="2">
        <v>8.6972222222222193</v>
      </c>
      <c r="N20" s="2">
        <v>6.22922043010752</v>
      </c>
      <c r="O20" s="2">
        <v>7.4655645161290298</v>
      </c>
      <c r="P20" s="2">
        <v>7.8203494623655896</v>
      </c>
      <c r="Q20" s="2">
        <v>10.323252688171999</v>
      </c>
      <c r="R20" s="2">
        <v>0</v>
      </c>
      <c r="S20" s="2">
        <v>4.5678888888888798</v>
      </c>
      <c r="T20" s="2">
        <v>2.5333333333333301</v>
      </c>
      <c r="U20" s="2">
        <v>0</v>
      </c>
      <c r="V20" s="2">
        <v>0</v>
      </c>
      <c r="W20" s="2">
        <v>0</v>
      </c>
      <c r="X20" s="2">
        <v>4.4222222222222198</v>
      </c>
    </row>
    <row r="21" spans="1:24" x14ac:dyDescent="0.2">
      <c r="A21" t="s">
        <v>65</v>
      </c>
      <c r="B21" t="s">
        <v>66</v>
      </c>
      <c r="C21" t="s">
        <v>67</v>
      </c>
      <c r="D21" s="3">
        <v>112.311111111111</v>
      </c>
      <c r="E21" s="3">
        <v>5.1555555555555497</v>
      </c>
      <c r="F21" s="3">
        <v>2.7542540561931101</v>
      </c>
      <c r="G21" s="3">
        <v>0</v>
      </c>
      <c r="H21" s="3">
        <v>0</v>
      </c>
      <c r="I21" s="3">
        <v>0</v>
      </c>
      <c r="J21" s="3">
        <v>3.5027777777777702</v>
      </c>
      <c r="K21" s="3">
        <v>0</v>
      </c>
      <c r="L21" s="3">
        <v>0</v>
      </c>
      <c r="M21" s="3">
        <v>4.8388888888888797</v>
      </c>
      <c r="N21" s="3">
        <v>4.6478037198258804</v>
      </c>
      <c r="O21" s="3">
        <v>12.842303126236599</v>
      </c>
      <c r="P21" s="3">
        <v>9.0299762564305492</v>
      </c>
      <c r="Q21" s="3">
        <v>15.5550059358923</v>
      </c>
      <c r="R21" s="3">
        <v>0</v>
      </c>
      <c r="S21" s="3">
        <v>0</v>
      </c>
      <c r="T21" s="3">
        <v>0</v>
      </c>
      <c r="U21" s="3">
        <v>0</v>
      </c>
      <c r="V21" s="3">
        <v>0</v>
      </c>
      <c r="W21" s="3">
        <v>0</v>
      </c>
      <c r="X21" s="3">
        <v>0</v>
      </c>
    </row>
    <row r="22" spans="1:24" x14ac:dyDescent="0.2">
      <c r="A22" s="1" t="s">
        <v>68</v>
      </c>
      <c r="B22" s="1" t="s">
        <v>69</v>
      </c>
      <c r="C22" s="1" t="s">
        <v>55</v>
      </c>
      <c r="D22" s="2">
        <v>20.533333333333299</v>
      </c>
      <c r="E22" s="2">
        <v>0</v>
      </c>
      <c r="F22" s="2">
        <v>0</v>
      </c>
      <c r="G22" s="2">
        <v>0</v>
      </c>
      <c r="H22" s="2">
        <v>0</v>
      </c>
      <c r="I22" s="2">
        <v>0</v>
      </c>
      <c r="J22" s="2">
        <v>2.6583333333333301</v>
      </c>
      <c r="K22" s="2">
        <v>0</v>
      </c>
      <c r="L22" s="2">
        <v>0</v>
      </c>
      <c r="M22" s="2">
        <v>0.36944444444444402</v>
      </c>
      <c r="N22" s="2">
        <v>13.238636363636299</v>
      </c>
      <c r="O22" s="2">
        <v>0</v>
      </c>
      <c r="P22" s="2">
        <v>53.206168831168803</v>
      </c>
      <c r="Q22" s="2">
        <v>71.020129870129793</v>
      </c>
      <c r="R22" s="2">
        <v>0</v>
      </c>
      <c r="S22" s="2">
        <v>4.7138888888888797</v>
      </c>
      <c r="T22" s="2">
        <v>0</v>
      </c>
      <c r="U22" s="2">
        <v>0</v>
      </c>
      <c r="V22" s="2">
        <v>0</v>
      </c>
      <c r="W22" s="2">
        <v>0</v>
      </c>
      <c r="X22" s="2">
        <v>0</v>
      </c>
    </row>
    <row r="23" spans="1:24" x14ac:dyDescent="0.2">
      <c r="A23" t="s">
        <v>70</v>
      </c>
      <c r="B23" t="s">
        <v>69</v>
      </c>
      <c r="C23" t="s">
        <v>55</v>
      </c>
      <c r="D23" s="3">
        <v>17.7777777777777</v>
      </c>
      <c r="E23" s="3">
        <v>0</v>
      </c>
      <c r="F23" s="3">
        <v>0</v>
      </c>
      <c r="G23" s="3">
        <v>0</v>
      </c>
      <c r="H23" s="3">
        <v>0</v>
      </c>
      <c r="I23" s="3">
        <v>0</v>
      </c>
      <c r="J23" s="3">
        <v>2.2999999999999998</v>
      </c>
      <c r="K23" s="3">
        <v>0</v>
      </c>
      <c r="L23" s="3">
        <v>0</v>
      </c>
      <c r="M23" s="3">
        <v>1.1111111111111099E-2</v>
      </c>
      <c r="N23" s="3">
        <v>21.956250000000001</v>
      </c>
      <c r="O23" s="3">
        <v>0</v>
      </c>
      <c r="P23" s="3">
        <v>98.559374999999903</v>
      </c>
      <c r="Q23" s="3">
        <v>95.765625</v>
      </c>
      <c r="R23" s="3">
        <v>0</v>
      </c>
      <c r="S23" s="3">
        <v>4.6638888888888799</v>
      </c>
      <c r="T23" s="3">
        <v>0</v>
      </c>
      <c r="U23" s="3">
        <v>0</v>
      </c>
      <c r="V23" s="3">
        <v>0</v>
      </c>
      <c r="W23" s="3">
        <v>0</v>
      </c>
      <c r="X23" s="3">
        <v>0</v>
      </c>
    </row>
    <row r="24" spans="1:24" x14ac:dyDescent="0.2">
      <c r="A24" s="1" t="s">
        <v>71</v>
      </c>
      <c r="B24" s="1" t="s">
        <v>72</v>
      </c>
      <c r="C24" s="1" t="s">
        <v>40</v>
      </c>
      <c r="D24" s="2">
        <v>97.588888888888803</v>
      </c>
      <c r="E24" s="2">
        <v>5.1977777777777696</v>
      </c>
      <c r="F24" s="2">
        <v>3.1957190026186901</v>
      </c>
      <c r="G24" s="2">
        <v>0</v>
      </c>
      <c r="H24" s="2">
        <v>0</v>
      </c>
      <c r="I24" s="2">
        <v>0</v>
      </c>
      <c r="J24" s="2">
        <v>6.15888888888888</v>
      </c>
      <c r="K24" s="2">
        <v>0</v>
      </c>
      <c r="L24" s="2">
        <v>0</v>
      </c>
      <c r="M24" s="2">
        <v>4.7677777777777699</v>
      </c>
      <c r="N24" s="2">
        <v>6.0403051349197296</v>
      </c>
      <c r="O24" s="2">
        <v>5.6536490948423097</v>
      </c>
      <c r="P24" s="2">
        <v>6.3504497324376601</v>
      </c>
      <c r="Q24" s="2">
        <v>12.600478196515899</v>
      </c>
      <c r="R24" s="2">
        <v>0</v>
      </c>
      <c r="S24" s="2">
        <v>0</v>
      </c>
      <c r="T24" s="2">
        <v>0</v>
      </c>
      <c r="U24" s="2">
        <v>0</v>
      </c>
      <c r="V24" s="2">
        <v>0</v>
      </c>
      <c r="W24" s="2">
        <v>0</v>
      </c>
      <c r="X24" s="2">
        <v>0</v>
      </c>
    </row>
    <row r="25" spans="1:24" x14ac:dyDescent="0.2">
      <c r="A25" t="s">
        <v>73</v>
      </c>
      <c r="B25" t="s">
        <v>28</v>
      </c>
      <c r="C25" t="s">
        <v>29</v>
      </c>
      <c r="D25" s="3">
        <v>290.25555555555502</v>
      </c>
      <c r="E25" s="3">
        <v>5.0666666666666602</v>
      </c>
      <c r="F25" s="3">
        <v>1.0473529073996</v>
      </c>
      <c r="G25" s="3">
        <v>2.5333333333333301</v>
      </c>
      <c r="H25" s="3">
        <v>0.52367645369980398</v>
      </c>
      <c r="I25" s="3">
        <v>0</v>
      </c>
      <c r="J25" s="3">
        <v>5.1844444444444404</v>
      </c>
      <c r="K25" s="3">
        <v>0</v>
      </c>
      <c r="L25" s="3">
        <v>0</v>
      </c>
      <c r="M25" s="3">
        <v>5.4083333333333297</v>
      </c>
      <c r="N25" s="3">
        <v>3.5533744210083</v>
      </c>
      <c r="O25" s="3">
        <v>5.8356620602534104</v>
      </c>
      <c r="P25" s="3">
        <v>8.5269685717566794</v>
      </c>
      <c r="Q25" s="3">
        <v>8.3242736286031391</v>
      </c>
      <c r="R25" s="3">
        <v>0</v>
      </c>
      <c r="S25" s="3">
        <v>0</v>
      </c>
      <c r="T25" s="3">
        <v>0</v>
      </c>
      <c r="U25" s="3">
        <v>0</v>
      </c>
      <c r="V25" s="3">
        <v>0</v>
      </c>
      <c r="W25" s="3">
        <v>0.44166666666666599</v>
      </c>
      <c r="X25" s="3">
        <v>5.0416666666666599</v>
      </c>
    </row>
    <row r="26" spans="1:24" x14ac:dyDescent="0.2">
      <c r="A26" s="1" t="s">
        <v>74</v>
      </c>
      <c r="B26" s="1" t="s">
        <v>75</v>
      </c>
      <c r="C26" s="1" t="s">
        <v>64</v>
      </c>
      <c r="D26" s="2">
        <v>104.7</v>
      </c>
      <c r="E26" s="2">
        <v>6.5194444444444404</v>
      </c>
      <c r="F26" s="2">
        <v>3.7360713148678699</v>
      </c>
      <c r="G26" s="2">
        <v>1.1000000000000001</v>
      </c>
      <c r="H26" s="2">
        <v>0.63037249283667596</v>
      </c>
      <c r="I26" s="2">
        <v>0.73611111111111105</v>
      </c>
      <c r="J26" s="2">
        <v>4.7611111111111102</v>
      </c>
      <c r="K26" s="2">
        <v>0</v>
      </c>
      <c r="L26" s="2">
        <v>0</v>
      </c>
      <c r="M26" s="2">
        <v>4.18055555555555</v>
      </c>
      <c r="N26" s="2">
        <v>2.6297357529449199</v>
      </c>
      <c r="O26" s="2">
        <v>8.5737026424705505</v>
      </c>
      <c r="P26" s="2">
        <v>5.4282075772047103</v>
      </c>
      <c r="Q26" s="2">
        <v>8.4447628143903195</v>
      </c>
      <c r="R26" s="2">
        <v>0</v>
      </c>
      <c r="S26" s="2">
        <v>3.87222222222222</v>
      </c>
      <c r="T26" s="2">
        <v>0</v>
      </c>
      <c r="U26" s="2">
        <v>0</v>
      </c>
      <c r="V26" s="2">
        <v>0</v>
      </c>
      <c r="W26" s="2">
        <v>0</v>
      </c>
      <c r="X26" s="2">
        <v>0</v>
      </c>
    </row>
    <row r="27" spans="1:24" x14ac:dyDescent="0.2">
      <c r="A27" t="s">
        <v>76</v>
      </c>
      <c r="B27" t="s">
        <v>77</v>
      </c>
      <c r="C27" t="s">
        <v>29</v>
      </c>
      <c r="D27" s="3">
        <v>22.1</v>
      </c>
      <c r="E27" s="3">
        <v>5.3333333333333304</v>
      </c>
      <c r="F27" s="3">
        <v>14.479638009049699</v>
      </c>
      <c r="G27" s="3">
        <v>0.57777777777777695</v>
      </c>
      <c r="H27" s="3">
        <v>1.5686274509803899</v>
      </c>
      <c r="I27" s="3">
        <v>0.33333333333333298</v>
      </c>
      <c r="J27" s="3">
        <v>3.0333333333333301</v>
      </c>
      <c r="K27" s="3">
        <v>0</v>
      </c>
      <c r="L27" s="3">
        <v>0</v>
      </c>
      <c r="M27" s="3">
        <v>0.42866666666666597</v>
      </c>
      <c r="N27" s="3">
        <v>10.754147812971301</v>
      </c>
      <c r="O27" s="3">
        <v>28.4615384615384</v>
      </c>
      <c r="P27" s="3">
        <v>27.614479638009001</v>
      </c>
      <c r="Q27" s="3">
        <v>53.765007541478099</v>
      </c>
      <c r="R27" s="3">
        <v>0</v>
      </c>
      <c r="S27" s="3">
        <v>0</v>
      </c>
      <c r="T27" s="3">
        <v>0</v>
      </c>
      <c r="U27" s="3">
        <v>0</v>
      </c>
      <c r="V27" s="3">
        <v>0</v>
      </c>
      <c r="W27" s="3">
        <v>0</v>
      </c>
      <c r="X27" s="3">
        <v>0</v>
      </c>
    </row>
    <row r="28" spans="1:24" x14ac:dyDescent="0.2">
      <c r="A28" s="1" t="s">
        <v>78</v>
      </c>
      <c r="B28" s="1" t="s">
        <v>79</v>
      </c>
      <c r="C28" s="1" t="s">
        <v>29</v>
      </c>
      <c r="D28" s="2">
        <v>73.3888888888888</v>
      </c>
      <c r="E28" s="2">
        <v>5.6888888888888802</v>
      </c>
      <c r="F28" s="2">
        <v>4.6510219530658601</v>
      </c>
      <c r="G28" s="2">
        <v>0.35</v>
      </c>
      <c r="H28" s="2">
        <v>0.28614685844057502</v>
      </c>
      <c r="I28" s="2">
        <v>0.73977777777777698</v>
      </c>
      <c r="J28" s="2">
        <v>5.2861111111111097</v>
      </c>
      <c r="K28" s="2">
        <v>0</v>
      </c>
      <c r="L28" s="2">
        <v>0</v>
      </c>
      <c r="M28" s="2">
        <v>4.55</v>
      </c>
      <c r="N28" s="2">
        <v>4.1355034065102201</v>
      </c>
      <c r="O28" s="2">
        <v>31.6828160484481</v>
      </c>
      <c r="P28" s="2">
        <v>19.196820590461702</v>
      </c>
      <c r="Q28" s="2">
        <v>23.518546555639599</v>
      </c>
      <c r="R28" s="2">
        <v>0</v>
      </c>
      <c r="S28" s="2">
        <v>5.9472222222222202</v>
      </c>
      <c r="T28" s="2">
        <v>0</v>
      </c>
      <c r="U28" s="2">
        <v>0</v>
      </c>
      <c r="V28" s="2">
        <v>0</v>
      </c>
      <c r="W28" s="2">
        <v>0</v>
      </c>
      <c r="X28" s="2">
        <v>0</v>
      </c>
    </row>
    <row r="29" spans="1:24" x14ac:dyDescent="0.2">
      <c r="A29" t="s">
        <v>80</v>
      </c>
      <c r="B29" t="s">
        <v>81</v>
      </c>
      <c r="C29" t="s">
        <v>58</v>
      </c>
      <c r="D29" s="3">
        <v>110.25555555555501</v>
      </c>
      <c r="E29" s="3">
        <v>5.3916666666666604</v>
      </c>
      <c r="F29" s="3">
        <v>2.9340925123450501</v>
      </c>
      <c r="G29" s="3">
        <v>2.7111111111111099</v>
      </c>
      <c r="H29" s="3">
        <v>1.47536027411065</v>
      </c>
      <c r="I29" s="3">
        <v>0</v>
      </c>
      <c r="J29" s="3">
        <v>1.6583333333333301</v>
      </c>
      <c r="K29" s="3">
        <v>0</v>
      </c>
      <c r="L29" s="3">
        <v>0</v>
      </c>
      <c r="M29" s="3">
        <v>3.7333333333333298</v>
      </c>
      <c r="N29" s="3">
        <v>5.2831804897712296</v>
      </c>
      <c r="O29" s="3">
        <v>11.254157008969001</v>
      </c>
      <c r="P29" s="3">
        <v>5.4313211730323401</v>
      </c>
      <c r="Q29" s="3">
        <v>11.373878867278</v>
      </c>
      <c r="R29" s="3">
        <v>0</v>
      </c>
      <c r="S29" s="3">
        <v>0</v>
      </c>
      <c r="T29" s="3">
        <v>0</v>
      </c>
      <c r="U29" s="3">
        <v>0</v>
      </c>
      <c r="V29" s="3">
        <v>0</v>
      </c>
      <c r="W29" s="3">
        <v>0</v>
      </c>
      <c r="X29" s="3">
        <v>0</v>
      </c>
    </row>
    <row r="30" spans="1:24" x14ac:dyDescent="0.2">
      <c r="A30" s="1" t="s">
        <v>82</v>
      </c>
      <c r="B30" s="1" t="s">
        <v>83</v>
      </c>
      <c r="C30" s="1" t="s">
        <v>50</v>
      </c>
      <c r="D30" s="2">
        <v>147.85555555555499</v>
      </c>
      <c r="E30" s="2">
        <v>3.81111111111111</v>
      </c>
      <c r="F30" s="2">
        <v>1.5465544450289299</v>
      </c>
      <c r="G30" s="2">
        <v>0</v>
      </c>
      <c r="H30" s="2">
        <v>0</v>
      </c>
      <c r="I30" s="2">
        <v>0</v>
      </c>
      <c r="J30" s="2">
        <v>0</v>
      </c>
      <c r="K30" s="2">
        <v>0</v>
      </c>
      <c r="L30" s="2">
        <v>0</v>
      </c>
      <c r="M30" s="2">
        <v>2.2833333333333301</v>
      </c>
      <c r="N30" s="2">
        <v>3.5665439242503898</v>
      </c>
      <c r="O30" s="2">
        <v>9.8668370030810806</v>
      </c>
      <c r="P30" s="2">
        <v>8.9010295333283196</v>
      </c>
      <c r="Q30" s="2">
        <v>5.0238220485458696</v>
      </c>
      <c r="R30" s="2">
        <v>0</v>
      </c>
      <c r="S30" s="2">
        <v>4.2</v>
      </c>
      <c r="T30" s="2">
        <v>0</v>
      </c>
      <c r="U30" s="2">
        <v>0</v>
      </c>
      <c r="V30" s="2">
        <v>0</v>
      </c>
      <c r="W30" s="2">
        <v>0</v>
      </c>
      <c r="X30" s="2">
        <v>0</v>
      </c>
    </row>
    <row r="31" spans="1:24" x14ac:dyDescent="0.2">
      <c r="A31" t="s">
        <v>84</v>
      </c>
      <c r="B31" t="s">
        <v>47</v>
      </c>
      <c r="C31" t="s">
        <v>29</v>
      </c>
      <c r="D31" s="3">
        <v>192.06666666666601</v>
      </c>
      <c r="E31" s="3">
        <v>5.5111111111111102</v>
      </c>
      <c r="F31" s="3">
        <v>1.7216244359597299</v>
      </c>
      <c r="G31" s="3">
        <v>0</v>
      </c>
      <c r="H31" s="3">
        <v>0</v>
      </c>
      <c r="I31" s="3">
        <v>0</v>
      </c>
      <c r="J31" s="3">
        <v>8.9722222222222197</v>
      </c>
      <c r="K31" s="3">
        <v>0</v>
      </c>
      <c r="L31" s="3">
        <v>5.6</v>
      </c>
      <c r="M31" s="3">
        <v>5.4404444444444398</v>
      </c>
      <c r="N31" s="3">
        <v>4.0107601527247398</v>
      </c>
      <c r="O31" s="3">
        <v>3.3018049288441498</v>
      </c>
      <c r="P31" s="3">
        <v>6.6041652204095804</v>
      </c>
      <c r="Q31" s="3">
        <v>7.9109684137452199</v>
      </c>
      <c r="R31" s="3">
        <v>0</v>
      </c>
      <c r="S31" s="3">
        <v>5.3333333333333304</v>
      </c>
      <c r="T31" s="3">
        <v>0</v>
      </c>
      <c r="U31" s="3">
        <v>0</v>
      </c>
      <c r="V31" s="3">
        <v>1.25833333333333</v>
      </c>
      <c r="W31" s="3">
        <v>0</v>
      </c>
      <c r="X31" s="3">
        <v>0</v>
      </c>
    </row>
    <row r="32" spans="1:24" x14ac:dyDescent="0.2">
      <c r="A32" s="1" t="s">
        <v>85</v>
      </c>
      <c r="B32" s="1" t="s">
        <v>72</v>
      </c>
      <c r="C32" s="1" t="s">
        <v>40</v>
      </c>
      <c r="D32" s="2">
        <v>222</v>
      </c>
      <c r="E32" s="2">
        <v>9.86666666666666</v>
      </c>
      <c r="F32" s="2">
        <v>2.6666666666666599</v>
      </c>
      <c r="G32" s="2">
        <v>2.8444444444444401</v>
      </c>
      <c r="H32" s="2">
        <v>0.76876876876876798</v>
      </c>
      <c r="I32" s="2">
        <v>1.6111111111111101</v>
      </c>
      <c r="J32" s="2">
        <v>5.3333333333333304</v>
      </c>
      <c r="K32" s="2">
        <v>0</v>
      </c>
      <c r="L32" s="2">
        <v>0</v>
      </c>
      <c r="M32" s="2">
        <v>6.7111111111111104</v>
      </c>
      <c r="N32" s="2">
        <v>5.1554054054053999</v>
      </c>
      <c r="O32" s="2">
        <v>13.9346846846846</v>
      </c>
      <c r="P32" s="2">
        <v>17.534534534534501</v>
      </c>
      <c r="Q32" s="2">
        <v>14.659909909909899</v>
      </c>
      <c r="R32" s="2">
        <v>0</v>
      </c>
      <c r="S32" s="2">
        <v>0</v>
      </c>
      <c r="T32" s="2">
        <v>0</v>
      </c>
      <c r="U32" s="2">
        <v>0</v>
      </c>
      <c r="V32" s="2">
        <v>7.0083333333333302</v>
      </c>
      <c r="W32" s="2">
        <v>0</v>
      </c>
      <c r="X32" s="2">
        <v>0</v>
      </c>
    </row>
    <row r="33" spans="1:24" x14ac:dyDescent="0.2">
      <c r="A33" t="s">
        <v>86</v>
      </c>
      <c r="B33" t="s">
        <v>87</v>
      </c>
      <c r="C33" t="s">
        <v>40</v>
      </c>
      <c r="D33" s="3">
        <v>93.033333333333303</v>
      </c>
      <c r="E33" s="3">
        <v>5.6888888888888802</v>
      </c>
      <c r="F33" s="3">
        <v>3.6689358652812598</v>
      </c>
      <c r="G33" s="3">
        <v>2.1333333333333302</v>
      </c>
      <c r="H33" s="3">
        <v>1.37585094948047</v>
      </c>
      <c r="I33" s="3">
        <v>0.82777777777777695</v>
      </c>
      <c r="J33" s="3">
        <v>5.3380000000000001</v>
      </c>
      <c r="K33" s="3">
        <v>0</v>
      </c>
      <c r="L33" s="3">
        <v>0</v>
      </c>
      <c r="M33" s="3">
        <v>4.3472222222222197</v>
      </c>
      <c r="N33" s="3">
        <v>4.5413830168398404</v>
      </c>
      <c r="O33" s="3">
        <v>14.8200644930132</v>
      </c>
      <c r="P33" s="3">
        <v>15.8049444643496</v>
      </c>
      <c r="Q33" s="3">
        <v>18.113579362235701</v>
      </c>
      <c r="R33" s="3">
        <v>0</v>
      </c>
      <c r="S33" s="3">
        <v>0</v>
      </c>
      <c r="T33" s="3">
        <v>0</v>
      </c>
      <c r="U33" s="3">
        <v>0</v>
      </c>
      <c r="V33" s="3">
        <v>5.0638888888888802</v>
      </c>
      <c r="W33" s="3">
        <v>0</v>
      </c>
      <c r="X33" s="3">
        <v>0</v>
      </c>
    </row>
    <row r="34" spans="1:24" x14ac:dyDescent="0.2">
      <c r="A34" s="1" t="s">
        <v>88</v>
      </c>
      <c r="B34" s="1" t="s">
        <v>89</v>
      </c>
      <c r="C34" s="1" t="s">
        <v>64</v>
      </c>
      <c r="D34" s="2">
        <v>74.266666666666595</v>
      </c>
      <c r="E34" s="2">
        <v>5.6</v>
      </c>
      <c r="F34" s="2">
        <v>4.5242369838420098</v>
      </c>
      <c r="G34" s="2">
        <v>0</v>
      </c>
      <c r="H34" s="2">
        <v>0</v>
      </c>
      <c r="I34" s="2">
        <v>0</v>
      </c>
      <c r="J34" s="2">
        <v>7.4896666666666603</v>
      </c>
      <c r="K34" s="2">
        <v>0</v>
      </c>
      <c r="L34" s="2">
        <v>0</v>
      </c>
      <c r="M34" s="2">
        <v>2.19533333333333</v>
      </c>
      <c r="N34" s="2">
        <v>5.4847396768402099</v>
      </c>
      <c r="O34" s="2">
        <v>3.9452423698384198</v>
      </c>
      <c r="P34" s="2">
        <v>13.089138240574499</v>
      </c>
      <c r="Q34" s="2">
        <v>20.3545780969479</v>
      </c>
      <c r="R34" s="2">
        <v>0</v>
      </c>
      <c r="S34" s="2">
        <v>5.1444444444444404</v>
      </c>
      <c r="T34" s="2">
        <v>0</v>
      </c>
      <c r="U34" s="2">
        <v>0</v>
      </c>
      <c r="V34" s="2">
        <v>0</v>
      </c>
      <c r="W34" s="2">
        <v>0</v>
      </c>
      <c r="X34" s="2">
        <v>0</v>
      </c>
    </row>
    <row r="35" spans="1:24" x14ac:dyDescent="0.2">
      <c r="A35" t="s">
        <v>90</v>
      </c>
      <c r="B35" t="s">
        <v>91</v>
      </c>
      <c r="C35" t="s">
        <v>29</v>
      </c>
      <c r="D35" s="3">
        <v>192.322222222222</v>
      </c>
      <c r="E35" s="3">
        <v>0</v>
      </c>
      <c r="F35" s="3">
        <v>0</v>
      </c>
      <c r="G35" s="3">
        <v>0</v>
      </c>
      <c r="H35" s="3">
        <v>0</v>
      </c>
      <c r="I35" s="3">
        <v>0</v>
      </c>
      <c r="J35" s="3">
        <v>7.42777777777777</v>
      </c>
      <c r="K35" s="3">
        <v>0</v>
      </c>
      <c r="L35" s="3">
        <v>8.18333333333333</v>
      </c>
      <c r="M35" s="3">
        <v>0</v>
      </c>
      <c r="N35" s="3">
        <v>1.3016349875787101</v>
      </c>
      <c r="O35" s="3">
        <v>3.2757524987000899</v>
      </c>
      <c r="P35" s="3">
        <v>0</v>
      </c>
      <c r="Q35" s="3">
        <v>0</v>
      </c>
      <c r="R35" s="3">
        <v>0</v>
      </c>
      <c r="S35" s="3">
        <v>32.383333333333297</v>
      </c>
      <c r="T35" s="3">
        <v>0</v>
      </c>
      <c r="U35" s="3">
        <v>0</v>
      </c>
      <c r="V35" s="3">
        <v>0</v>
      </c>
      <c r="W35" s="3">
        <v>0</v>
      </c>
      <c r="X35" s="3">
        <v>4.6888888888888802</v>
      </c>
    </row>
    <row r="36" spans="1:24" x14ac:dyDescent="0.2">
      <c r="A36" s="1" t="s">
        <v>92</v>
      </c>
      <c r="B36" s="1" t="s">
        <v>93</v>
      </c>
      <c r="C36" s="1" t="s">
        <v>29</v>
      </c>
      <c r="D36" s="2">
        <v>116.9</v>
      </c>
      <c r="E36" s="2">
        <v>10.3333333333333</v>
      </c>
      <c r="F36" s="2">
        <v>5.3036783575705702</v>
      </c>
      <c r="G36" s="2">
        <v>0</v>
      </c>
      <c r="H36" s="2">
        <v>0</v>
      </c>
      <c r="I36" s="2">
        <v>0</v>
      </c>
      <c r="J36" s="2">
        <v>6.7666666666666604</v>
      </c>
      <c r="K36" s="2">
        <v>0</v>
      </c>
      <c r="L36" s="2">
        <v>0</v>
      </c>
      <c r="M36" s="2">
        <v>10.202777777777699</v>
      </c>
      <c r="N36" s="2">
        <v>2.86569717707442</v>
      </c>
      <c r="O36" s="2">
        <v>24.717707442258298</v>
      </c>
      <c r="P36" s="2">
        <v>22.751639577986801</v>
      </c>
      <c r="Q36" s="2">
        <v>19.739093242087201</v>
      </c>
      <c r="R36" s="2">
        <v>0</v>
      </c>
      <c r="S36" s="2">
        <v>0</v>
      </c>
      <c r="T36" s="2">
        <v>0</v>
      </c>
      <c r="U36" s="2">
        <v>0</v>
      </c>
      <c r="V36" s="2">
        <v>6.8361111111111104</v>
      </c>
      <c r="W36" s="2">
        <v>0</v>
      </c>
      <c r="X36" s="2">
        <v>0</v>
      </c>
    </row>
    <row r="37" spans="1:24" x14ac:dyDescent="0.2">
      <c r="A37" t="s">
        <v>94</v>
      </c>
      <c r="B37" t="s">
        <v>95</v>
      </c>
      <c r="C37" t="s">
        <v>64</v>
      </c>
      <c r="D37" s="3">
        <v>266.77777777777698</v>
      </c>
      <c r="E37" s="3">
        <v>5.6</v>
      </c>
      <c r="F37" s="3">
        <v>1.25947521865889</v>
      </c>
      <c r="G37" s="3">
        <v>0</v>
      </c>
      <c r="H37" s="3">
        <v>0</v>
      </c>
      <c r="I37" s="3">
        <v>0</v>
      </c>
      <c r="J37" s="3">
        <v>25.622222222222199</v>
      </c>
      <c r="K37" s="3">
        <v>0</v>
      </c>
      <c r="L37" s="3">
        <v>0</v>
      </c>
      <c r="M37" s="3">
        <v>19.030555555555502</v>
      </c>
      <c r="N37" s="3">
        <v>10.4300291545189</v>
      </c>
      <c r="O37" s="3">
        <v>68.323456892961204</v>
      </c>
      <c r="P37" s="3">
        <v>7.8442315701790903</v>
      </c>
      <c r="Q37" s="3">
        <v>9.1930445647646799</v>
      </c>
      <c r="R37" s="3">
        <v>14.783333333333299</v>
      </c>
      <c r="S37" s="3">
        <v>10.272222222222201</v>
      </c>
      <c r="T37" s="3">
        <v>0</v>
      </c>
      <c r="U37" s="3">
        <v>0</v>
      </c>
      <c r="V37" s="3">
        <v>58.641666666666602</v>
      </c>
      <c r="W37" s="3">
        <v>16.341666666666601</v>
      </c>
      <c r="X37" s="3">
        <v>1.38066666666666</v>
      </c>
    </row>
    <row r="38" spans="1:24" x14ac:dyDescent="0.2">
      <c r="A38" s="1" t="s">
        <v>96</v>
      </c>
      <c r="B38" s="1" t="s">
        <v>97</v>
      </c>
      <c r="C38" s="1" t="s">
        <v>55</v>
      </c>
      <c r="D38" s="2">
        <v>225.73333333333301</v>
      </c>
      <c r="E38" s="2">
        <v>5.0861111111111104</v>
      </c>
      <c r="F38" s="2">
        <v>1.35189013585351</v>
      </c>
      <c r="G38" s="2">
        <v>0</v>
      </c>
      <c r="H38" s="2">
        <v>0</v>
      </c>
      <c r="I38" s="2">
        <v>0</v>
      </c>
      <c r="J38" s="2">
        <v>10.705555555555501</v>
      </c>
      <c r="K38" s="2">
        <v>0</v>
      </c>
      <c r="L38" s="2">
        <v>0</v>
      </c>
      <c r="M38" s="2">
        <v>5.2934444444444404</v>
      </c>
      <c r="N38" s="2">
        <v>3.3741878322504402</v>
      </c>
      <c r="O38" s="2">
        <v>0.42085056113408098</v>
      </c>
      <c r="P38" s="2">
        <v>6.2865623154164201</v>
      </c>
      <c r="Q38" s="2">
        <v>9.4301831069108104</v>
      </c>
      <c r="R38" s="2">
        <v>0</v>
      </c>
      <c r="S38" s="2">
        <v>10.883333333333301</v>
      </c>
      <c r="T38" s="2">
        <v>0</v>
      </c>
      <c r="U38" s="2">
        <v>0</v>
      </c>
      <c r="V38" s="2">
        <v>37.702777777777698</v>
      </c>
      <c r="W38" s="2">
        <v>0</v>
      </c>
      <c r="X38" s="2">
        <v>0</v>
      </c>
    </row>
    <row r="39" spans="1:24" x14ac:dyDescent="0.2">
      <c r="A39" t="s">
        <v>98</v>
      </c>
      <c r="B39" t="s">
        <v>99</v>
      </c>
      <c r="C39" t="s">
        <v>55</v>
      </c>
      <c r="D39" s="3">
        <v>116.944444444444</v>
      </c>
      <c r="E39" s="3">
        <v>4.5138888888888804</v>
      </c>
      <c r="F39" s="3">
        <v>2.3159144893111598</v>
      </c>
      <c r="G39" s="3">
        <v>0</v>
      </c>
      <c r="H39" s="3">
        <v>0</v>
      </c>
      <c r="I39" s="3">
        <v>0</v>
      </c>
      <c r="J39" s="3">
        <v>5.4777777777777699</v>
      </c>
      <c r="K39" s="3">
        <v>0</v>
      </c>
      <c r="L39" s="3">
        <v>0</v>
      </c>
      <c r="M39" s="3">
        <v>3.99555555555555</v>
      </c>
      <c r="N39" s="3">
        <v>4.4693586698337198</v>
      </c>
      <c r="O39" s="3">
        <v>4.3824228028503498</v>
      </c>
      <c r="P39" s="3">
        <v>6.1255866983372904</v>
      </c>
      <c r="Q39" s="3">
        <v>12.376019002375299</v>
      </c>
      <c r="R39" s="3">
        <v>0</v>
      </c>
      <c r="S39" s="3">
        <v>4.1888888888888802</v>
      </c>
      <c r="T39" s="3">
        <v>0</v>
      </c>
      <c r="U39" s="3">
        <v>0</v>
      </c>
      <c r="V39" s="3">
        <v>0</v>
      </c>
      <c r="W39" s="3">
        <v>0</v>
      </c>
      <c r="X39" s="3">
        <v>0</v>
      </c>
    </row>
    <row r="40" spans="1:24" x14ac:dyDescent="0.2">
      <c r="A40" s="1" t="s">
        <v>100</v>
      </c>
      <c r="B40" s="1" t="s">
        <v>101</v>
      </c>
      <c r="C40" s="1" t="s">
        <v>55</v>
      </c>
      <c r="D40" s="2">
        <v>176.78888888888801</v>
      </c>
      <c r="E40" s="2">
        <v>4.6666666666666599</v>
      </c>
      <c r="F40" s="2">
        <v>1.5838099428068599</v>
      </c>
      <c r="G40" s="2">
        <v>0</v>
      </c>
      <c r="H40" s="2">
        <v>0</v>
      </c>
      <c r="I40" s="2">
        <v>0</v>
      </c>
      <c r="J40" s="2">
        <v>0.6</v>
      </c>
      <c r="K40" s="2">
        <v>0</v>
      </c>
      <c r="L40" s="2">
        <v>0</v>
      </c>
      <c r="M40" s="2">
        <v>3.6509999999999998</v>
      </c>
      <c r="N40" s="2">
        <v>2.6302557978756802</v>
      </c>
      <c r="O40" s="2">
        <v>5.3255609326880702</v>
      </c>
      <c r="P40" s="2">
        <v>7.1216768273521396</v>
      </c>
      <c r="Q40" s="2">
        <v>9.2278423732009305</v>
      </c>
      <c r="R40" s="2">
        <v>0</v>
      </c>
      <c r="S40" s="2">
        <v>4.8333333333333304</v>
      </c>
      <c r="T40" s="2">
        <v>0</v>
      </c>
      <c r="U40" s="2">
        <v>0</v>
      </c>
      <c r="V40" s="2">
        <v>0</v>
      </c>
      <c r="W40" s="2">
        <v>0</v>
      </c>
      <c r="X40" s="2">
        <v>0</v>
      </c>
    </row>
    <row r="41" spans="1:24" x14ac:dyDescent="0.2">
      <c r="A41" t="s">
        <v>102</v>
      </c>
      <c r="B41" t="s">
        <v>103</v>
      </c>
      <c r="C41" t="s">
        <v>55</v>
      </c>
      <c r="D41" s="3">
        <v>146.56666666666601</v>
      </c>
      <c r="E41" s="3">
        <v>5.3333333333333304</v>
      </c>
      <c r="F41" s="3">
        <v>2.1833068000909699</v>
      </c>
      <c r="G41" s="3">
        <v>0.72222222222222199</v>
      </c>
      <c r="H41" s="3">
        <v>0.29565612917898498</v>
      </c>
      <c r="I41" s="3">
        <v>0.84166666666666601</v>
      </c>
      <c r="J41" s="3">
        <v>5.2777777777777697</v>
      </c>
      <c r="K41" s="3">
        <v>0</v>
      </c>
      <c r="L41" s="3">
        <v>0</v>
      </c>
      <c r="M41" s="3">
        <v>4.9666666666666597</v>
      </c>
      <c r="N41" s="3">
        <v>1.90357061632931</v>
      </c>
      <c r="O41" s="3">
        <v>9.3836706845576501</v>
      </c>
      <c r="P41" s="3">
        <v>10.7152604048214</v>
      </c>
      <c r="Q41" s="3">
        <v>13.856038207868901</v>
      </c>
      <c r="R41" s="3">
        <v>0</v>
      </c>
      <c r="S41" s="3">
        <v>0</v>
      </c>
      <c r="T41" s="3">
        <v>0</v>
      </c>
      <c r="U41" s="3">
        <v>0</v>
      </c>
      <c r="V41" s="3">
        <v>0</v>
      </c>
      <c r="W41" s="3">
        <v>0</v>
      </c>
      <c r="X41" s="3">
        <v>0</v>
      </c>
    </row>
    <row r="42" spans="1:24" x14ac:dyDescent="0.2">
      <c r="A42" s="1" t="s">
        <v>104</v>
      </c>
      <c r="B42" s="1" t="s">
        <v>105</v>
      </c>
      <c r="C42" s="1" t="s">
        <v>58</v>
      </c>
      <c r="D42" s="2">
        <v>116.388888888888</v>
      </c>
      <c r="E42" s="2">
        <v>4.5833333333333304</v>
      </c>
      <c r="F42" s="2">
        <v>2.3627684964200402</v>
      </c>
      <c r="G42" s="2">
        <v>10.5</v>
      </c>
      <c r="H42" s="2">
        <v>5.4128878281622903</v>
      </c>
      <c r="I42" s="2">
        <v>0.438888888888888</v>
      </c>
      <c r="J42" s="2">
        <v>5.17777777777777</v>
      </c>
      <c r="K42" s="2">
        <v>0</v>
      </c>
      <c r="L42" s="2">
        <v>4.9166666666666599</v>
      </c>
      <c r="M42" s="2">
        <v>5.49722222222222</v>
      </c>
      <c r="N42" s="2">
        <v>4.82291169451074</v>
      </c>
      <c r="O42" s="2">
        <v>11.253937947494</v>
      </c>
      <c r="P42" s="2">
        <v>11.0964200477326</v>
      </c>
      <c r="Q42" s="2">
        <v>6.8477326968973697</v>
      </c>
      <c r="R42" s="2">
        <v>0</v>
      </c>
      <c r="S42" s="2">
        <v>0</v>
      </c>
      <c r="T42" s="2">
        <v>0</v>
      </c>
      <c r="U42" s="2">
        <v>0</v>
      </c>
      <c r="V42" s="2">
        <v>0</v>
      </c>
      <c r="W42" s="2">
        <v>0</v>
      </c>
      <c r="X42" s="2">
        <v>0</v>
      </c>
    </row>
    <row r="43" spans="1:24" x14ac:dyDescent="0.2">
      <c r="A43" t="s">
        <v>106</v>
      </c>
      <c r="B43" t="s">
        <v>107</v>
      </c>
      <c r="C43" t="s">
        <v>55</v>
      </c>
      <c r="D43" s="3">
        <v>155.822222222222</v>
      </c>
      <c r="E43" s="3">
        <v>12.8333333333333</v>
      </c>
      <c r="F43" s="3">
        <v>4.9415288077581199</v>
      </c>
      <c r="G43" s="3">
        <v>0</v>
      </c>
      <c r="H43" s="3">
        <v>0</v>
      </c>
      <c r="I43" s="3">
        <v>0</v>
      </c>
      <c r="J43" s="3">
        <v>11.283333333333299</v>
      </c>
      <c r="K43" s="3">
        <v>0</v>
      </c>
      <c r="L43" s="3">
        <v>0</v>
      </c>
      <c r="M43" s="3">
        <v>5.55555555555555</v>
      </c>
      <c r="N43" s="3">
        <v>4.0580433542498504</v>
      </c>
      <c r="O43" s="3">
        <v>3.1093126069594899</v>
      </c>
      <c r="P43" s="3">
        <v>6.5127638334283997</v>
      </c>
      <c r="Q43" s="3">
        <v>8.9172133485453493</v>
      </c>
      <c r="R43" s="3">
        <v>0</v>
      </c>
      <c r="S43" s="3">
        <v>0</v>
      </c>
      <c r="T43" s="3">
        <v>0</v>
      </c>
      <c r="U43" s="3">
        <v>0</v>
      </c>
      <c r="V43" s="3">
        <v>0</v>
      </c>
      <c r="W43" s="3">
        <v>0</v>
      </c>
      <c r="X43" s="3">
        <v>0</v>
      </c>
    </row>
    <row r="44" spans="1:24" x14ac:dyDescent="0.2">
      <c r="A44" s="1" t="s">
        <v>108</v>
      </c>
      <c r="B44" s="1" t="s">
        <v>109</v>
      </c>
      <c r="C44" s="1" t="s">
        <v>110</v>
      </c>
      <c r="D44" s="2">
        <v>109.25555555555501</v>
      </c>
      <c r="E44" s="2">
        <v>4.7111111111111104</v>
      </c>
      <c r="F44" s="2">
        <v>2.5872063459778198</v>
      </c>
      <c r="G44" s="2">
        <v>1.6444444444444399</v>
      </c>
      <c r="H44" s="2">
        <v>0.90308146038848702</v>
      </c>
      <c r="I44" s="2">
        <v>0.86388888888888804</v>
      </c>
      <c r="J44" s="2">
        <v>2.9055555555555501</v>
      </c>
      <c r="K44" s="2">
        <v>0</v>
      </c>
      <c r="L44" s="2">
        <v>5.3333333333333304</v>
      </c>
      <c r="M44" s="2">
        <v>1.81944444444444</v>
      </c>
      <c r="N44" s="2">
        <v>5.1652598393165796</v>
      </c>
      <c r="O44" s="2">
        <v>14.668971829553501</v>
      </c>
      <c r="P44" s="2">
        <v>7.4748296552425497</v>
      </c>
      <c r="Q44" s="2">
        <v>9.8972846537170707</v>
      </c>
      <c r="R44" s="2">
        <v>2.7111111111111099</v>
      </c>
      <c r="S44" s="2">
        <v>0</v>
      </c>
      <c r="T44" s="2">
        <v>0</v>
      </c>
      <c r="U44" s="2">
        <v>0</v>
      </c>
      <c r="V44" s="2">
        <v>3.1083333333333298</v>
      </c>
      <c r="W44" s="2">
        <v>0</v>
      </c>
      <c r="X44" s="2">
        <v>1.98888888888888</v>
      </c>
    </row>
    <row r="45" spans="1:24" x14ac:dyDescent="0.2">
      <c r="A45" t="s">
        <v>111</v>
      </c>
      <c r="B45" t="s">
        <v>112</v>
      </c>
      <c r="C45" t="s">
        <v>110</v>
      </c>
      <c r="D45" s="3">
        <v>153.58888888888799</v>
      </c>
      <c r="E45" s="3">
        <v>5.0666666666666602</v>
      </c>
      <c r="F45" s="3">
        <v>1.97930984590899</v>
      </c>
      <c r="G45" s="3">
        <v>1.38888888888888</v>
      </c>
      <c r="H45" s="3">
        <v>0.54257397091803505</v>
      </c>
      <c r="I45" s="3">
        <v>0.95</v>
      </c>
      <c r="J45" s="3">
        <v>9.23888888888888</v>
      </c>
      <c r="K45" s="3">
        <v>0</v>
      </c>
      <c r="L45" s="3">
        <v>5.8416666666666597</v>
      </c>
      <c r="M45" s="3">
        <v>4.74444444444444</v>
      </c>
      <c r="N45" s="3">
        <v>6.0214859292483496</v>
      </c>
      <c r="O45" s="3">
        <v>10.1993055053172</v>
      </c>
      <c r="P45" s="3">
        <v>14.0353034797077</v>
      </c>
      <c r="Q45" s="3">
        <v>11.041380308181999</v>
      </c>
      <c r="R45" s="3">
        <v>0</v>
      </c>
      <c r="S45" s="3">
        <v>0</v>
      </c>
      <c r="T45" s="3">
        <v>0</v>
      </c>
      <c r="U45" s="3">
        <v>0</v>
      </c>
      <c r="V45" s="3">
        <v>0</v>
      </c>
      <c r="W45" s="3">
        <v>0</v>
      </c>
      <c r="X45" s="3">
        <v>0</v>
      </c>
    </row>
    <row r="46" spans="1:24" x14ac:dyDescent="0.2">
      <c r="A46" s="1" t="s">
        <v>113</v>
      </c>
      <c r="B46" s="1" t="s">
        <v>114</v>
      </c>
      <c r="C46" s="1" t="s">
        <v>50</v>
      </c>
      <c r="D46" s="2">
        <v>106.14444444444401</v>
      </c>
      <c r="E46" s="2">
        <v>4.74166666666666</v>
      </c>
      <c r="F46" s="2">
        <v>2.6803098503088001</v>
      </c>
      <c r="G46" s="2">
        <v>0</v>
      </c>
      <c r="H46" s="2">
        <v>0</v>
      </c>
      <c r="I46" s="2">
        <v>0</v>
      </c>
      <c r="J46" s="2">
        <v>5.61666666666666</v>
      </c>
      <c r="K46" s="2">
        <v>0</v>
      </c>
      <c r="L46" s="2">
        <v>0</v>
      </c>
      <c r="M46" s="2">
        <v>5.3388888888888797</v>
      </c>
      <c r="N46" s="2">
        <v>9.3944310687741996</v>
      </c>
      <c r="O46" s="2">
        <v>15.708908196377999</v>
      </c>
      <c r="P46" s="2">
        <v>8.3424055270595598</v>
      </c>
      <c r="Q46" s="2">
        <v>7.7959803203182201</v>
      </c>
      <c r="R46" s="2">
        <v>0</v>
      </c>
      <c r="S46" s="2">
        <v>0</v>
      </c>
      <c r="T46" s="2">
        <v>0</v>
      </c>
      <c r="U46" s="2">
        <v>0</v>
      </c>
      <c r="V46" s="2">
        <v>0</v>
      </c>
      <c r="W46" s="2">
        <v>0</v>
      </c>
      <c r="X46" s="2">
        <v>0</v>
      </c>
    </row>
    <row r="47" spans="1:24" x14ac:dyDescent="0.2">
      <c r="A47" t="s">
        <v>115</v>
      </c>
      <c r="B47" t="s">
        <v>116</v>
      </c>
      <c r="C47" t="s">
        <v>26</v>
      </c>
      <c r="D47" s="3">
        <v>78.122222222222206</v>
      </c>
      <c r="E47" s="3">
        <v>4.1277777777777702</v>
      </c>
      <c r="F47" s="3">
        <v>3.1702460531929999</v>
      </c>
      <c r="G47" s="3">
        <v>0.241111111111111</v>
      </c>
      <c r="H47" s="3">
        <v>0.185179917508178</v>
      </c>
      <c r="I47" s="3">
        <v>0</v>
      </c>
      <c r="J47" s="3">
        <v>0.452777777777777</v>
      </c>
      <c r="K47" s="3">
        <v>0</v>
      </c>
      <c r="L47" s="3">
        <v>0</v>
      </c>
      <c r="M47" s="3">
        <v>0</v>
      </c>
      <c r="N47" s="3">
        <v>0</v>
      </c>
      <c r="O47" s="3">
        <v>9.3986061726639107</v>
      </c>
      <c r="P47" s="3">
        <v>3.9216327691651198</v>
      </c>
      <c r="Q47" s="3">
        <v>7.8680130849096797</v>
      </c>
      <c r="R47" s="3">
        <v>0</v>
      </c>
      <c r="S47" s="3">
        <v>0</v>
      </c>
      <c r="T47" s="3">
        <v>0</v>
      </c>
      <c r="U47" s="3">
        <v>0</v>
      </c>
      <c r="V47" s="3">
        <v>0</v>
      </c>
      <c r="W47" s="3">
        <v>0</v>
      </c>
      <c r="X47" s="3">
        <v>0</v>
      </c>
    </row>
    <row r="48" spans="1:24" x14ac:dyDescent="0.2">
      <c r="A48" s="1" t="s">
        <v>117</v>
      </c>
      <c r="B48" s="1" t="s">
        <v>118</v>
      </c>
      <c r="C48" s="1" t="s">
        <v>29</v>
      </c>
      <c r="D48" s="2">
        <v>120.888888888888</v>
      </c>
      <c r="E48" s="2">
        <v>5.6888888888888802</v>
      </c>
      <c r="F48" s="2">
        <v>2.8235294117646998</v>
      </c>
      <c r="G48" s="2">
        <v>0.43333333333333302</v>
      </c>
      <c r="H48" s="2">
        <v>0.215073529411764</v>
      </c>
      <c r="I48" s="2">
        <v>0.67777777777777704</v>
      </c>
      <c r="J48" s="2">
        <v>4.0166666666666604</v>
      </c>
      <c r="K48" s="2">
        <v>0</v>
      </c>
      <c r="L48" s="2">
        <v>2.74444444444444</v>
      </c>
      <c r="M48" s="2">
        <v>5.7805555555555497</v>
      </c>
      <c r="N48" s="2">
        <v>2.7063419117646998</v>
      </c>
      <c r="O48" s="2">
        <v>26.6677389705882</v>
      </c>
      <c r="P48" s="2">
        <v>11.790772058823499</v>
      </c>
      <c r="Q48" s="2">
        <v>10.7867647058823</v>
      </c>
      <c r="R48" s="2">
        <v>0</v>
      </c>
      <c r="S48" s="2">
        <v>0</v>
      </c>
      <c r="T48" s="2">
        <v>0</v>
      </c>
      <c r="U48" s="2">
        <v>0</v>
      </c>
      <c r="V48" s="2">
        <v>3.4411111111111099</v>
      </c>
      <c r="W48" s="2">
        <v>0</v>
      </c>
      <c r="X48" s="2">
        <v>2.8944444444444399</v>
      </c>
    </row>
    <row r="49" spans="1:24" x14ac:dyDescent="0.2">
      <c r="A49" t="s">
        <v>119</v>
      </c>
      <c r="B49" t="s">
        <v>28</v>
      </c>
      <c r="C49" t="s">
        <v>29</v>
      </c>
      <c r="D49" s="3">
        <v>108.64444444444401</v>
      </c>
      <c r="E49" s="3">
        <v>5.6888888888888802</v>
      </c>
      <c r="F49" s="3">
        <v>3.1417467784822999</v>
      </c>
      <c r="G49" s="3">
        <v>0</v>
      </c>
      <c r="H49" s="3">
        <v>0</v>
      </c>
      <c r="I49" s="3">
        <v>0</v>
      </c>
      <c r="J49" s="3">
        <v>15.994444444444399</v>
      </c>
      <c r="K49" s="3">
        <v>0</v>
      </c>
      <c r="L49" s="3">
        <v>0</v>
      </c>
      <c r="M49" s="3">
        <v>5.8222222222222202</v>
      </c>
      <c r="N49" s="3">
        <v>4.2708120269993799</v>
      </c>
      <c r="O49" s="3">
        <v>10.927081202699901</v>
      </c>
      <c r="P49" s="3">
        <v>18.752914706483899</v>
      </c>
      <c r="Q49" s="3">
        <v>21.364491716097302</v>
      </c>
      <c r="R49" s="3">
        <v>0</v>
      </c>
      <c r="S49" s="3">
        <v>0</v>
      </c>
      <c r="T49" s="3">
        <v>0</v>
      </c>
      <c r="U49" s="3">
        <v>0</v>
      </c>
      <c r="V49" s="3">
        <v>4.1916666666666602</v>
      </c>
      <c r="W49" s="3">
        <v>0</v>
      </c>
      <c r="X49" s="3">
        <v>0</v>
      </c>
    </row>
    <row r="50" spans="1:24" x14ac:dyDescent="0.2">
      <c r="A50" s="1" t="s">
        <v>120</v>
      </c>
      <c r="B50" s="1" t="s">
        <v>60</v>
      </c>
      <c r="C50" s="1" t="s">
        <v>40</v>
      </c>
      <c r="D50" s="2">
        <v>113.788888888888</v>
      </c>
      <c r="E50" s="2">
        <v>4.5333333333333297</v>
      </c>
      <c r="F50" s="2">
        <v>2.3903915633238899</v>
      </c>
      <c r="G50" s="2">
        <v>0</v>
      </c>
      <c r="H50" s="2">
        <v>0</v>
      </c>
      <c r="I50" s="2">
        <v>0</v>
      </c>
      <c r="J50" s="2">
        <v>4.40888888888888</v>
      </c>
      <c r="K50" s="2">
        <v>0</v>
      </c>
      <c r="L50" s="2">
        <v>0</v>
      </c>
      <c r="M50" s="2">
        <v>5.9455555555555497</v>
      </c>
      <c r="N50" s="2">
        <v>5.1088760863196896</v>
      </c>
      <c r="O50" s="2">
        <v>11.783517234645</v>
      </c>
      <c r="P50" s="2">
        <v>15.3190118152524</v>
      </c>
      <c r="Q50" s="2">
        <v>11.0596621423689</v>
      </c>
      <c r="R50" s="2">
        <v>0</v>
      </c>
      <c r="S50" s="2">
        <v>0</v>
      </c>
      <c r="T50" s="2">
        <v>0</v>
      </c>
      <c r="U50" s="2">
        <v>0</v>
      </c>
      <c r="V50" s="2">
        <v>0</v>
      </c>
      <c r="W50" s="2">
        <v>0</v>
      </c>
      <c r="X50" s="2">
        <v>0</v>
      </c>
    </row>
    <row r="51" spans="1:24" x14ac:dyDescent="0.2">
      <c r="A51" t="s">
        <v>121</v>
      </c>
      <c r="B51" t="s">
        <v>122</v>
      </c>
      <c r="C51" t="s">
        <v>40</v>
      </c>
      <c r="D51" s="3">
        <v>181.988888888888</v>
      </c>
      <c r="E51" s="3">
        <v>8.5333333333333297</v>
      </c>
      <c r="F51" s="3">
        <v>2.8133585688992002</v>
      </c>
      <c r="G51" s="3">
        <v>0</v>
      </c>
      <c r="H51" s="3">
        <v>0</v>
      </c>
      <c r="I51" s="3">
        <v>0</v>
      </c>
      <c r="J51" s="3">
        <v>0</v>
      </c>
      <c r="K51" s="3">
        <v>0</v>
      </c>
      <c r="L51" s="3">
        <v>0</v>
      </c>
      <c r="M51" s="3">
        <v>8.61944444444444</v>
      </c>
      <c r="N51" s="3">
        <v>3.8672690640454199</v>
      </c>
      <c r="O51" s="3">
        <v>8.2459246596251301</v>
      </c>
      <c r="P51" s="3">
        <v>11.466817266011301</v>
      </c>
      <c r="Q51" s="3">
        <v>7.79534770132486</v>
      </c>
      <c r="R51" s="3">
        <v>0</v>
      </c>
      <c r="S51" s="3">
        <v>5.0666666666666602</v>
      </c>
      <c r="T51" s="3">
        <v>0</v>
      </c>
      <c r="U51" s="3">
        <v>0</v>
      </c>
      <c r="V51" s="3">
        <v>0</v>
      </c>
      <c r="W51" s="3">
        <v>0</v>
      </c>
      <c r="X51" s="3">
        <v>0</v>
      </c>
    </row>
    <row r="52" spans="1:24" x14ac:dyDescent="0.2">
      <c r="A52" s="1" t="s">
        <v>123</v>
      </c>
      <c r="B52" s="1" t="s">
        <v>124</v>
      </c>
      <c r="C52" s="1" t="s">
        <v>50</v>
      </c>
      <c r="D52" s="2">
        <v>58.6111111111111</v>
      </c>
      <c r="E52" s="2">
        <v>4.6666666666666599</v>
      </c>
      <c r="F52" s="2">
        <v>4.7772511848341201</v>
      </c>
      <c r="G52" s="2">
        <v>0</v>
      </c>
      <c r="H52" s="2">
        <v>0</v>
      </c>
      <c r="I52" s="2">
        <v>0</v>
      </c>
      <c r="J52" s="2">
        <v>4.5833333333333304</v>
      </c>
      <c r="K52" s="2">
        <v>0</v>
      </c>
      <c r="L52" s="2">
        <v>0</v>
      </c>
      <c r="M52" s="2">
        <v>4.6022222222222204</v>
      </c>
      <c r="N52" s="2">
        <v>4.9706161137440699</v>
      </c>
      <c r="O52" s="2">
        <v>18.692701421800901</v>
      </c>
      <c r="P52" s="2">
        <v>17.6997156398104</v>
      </c>
      <c r="Q52" s="2">
        <v>21.265592417061601</v>
      </c>
      <c r="R52" s="2">
        <v>0</v>
      </c>
      <c r="S52" s="2">
        <v>4.4166666666666599</v>
      </c>
      <c r="T52" s="2">
        <v>0</v>
      </c>
      <c r="U52" s="2">
        <v>0</v>
      </c>
      <c r="V52" s="2">
        <v>0</v>
      </c>
      <c r="W52" s="2">
        <v>0</v>
      </c>
      <c r="X52" s="2">
        <v>0</v>
      </c>
    </row>
    <row r="53" spans="1:24" x14ac:dyDescent="0.2">
      <c r="A53" t="s">
        <v>125</v>
      </c>
      <c r="B53" t="s">
        <v>33</v>
      </c>
      <c r="C53" t="s">
        <v>29</v>
      </c>
      <c r="D53" s="3">
        <v>140.877777777777</v>
      </c>
      <c r="E53" s="3">
        <v>8.5833333333333304</v>
      </c>
      <c r="F53" s="3">
        <v>3.6556510765833199</v>
      </c>
      <c r="G53" s="3">
        <v>4.3822222222222198</v>
      </c>
      <c r="H53" s="3">
        <v>1.8663932486789101</v>
      </c>
      <c r="I53" s="3">
        <v>0.97777777777777697</v>
      </c>
      <c r="J53" s="3">
        <v>4.8611111111111098</v>
      </c>
      <c r="K53" s="3">
        <v>0</v>
      </c>
      <c r="L53" s="3">
        <v>0</v>
      </c>
      <c r="M53" s="3">
        <v>1.7225555555555501</v>
      </c>
      <c r="N53" s="3">
        <v>6.0572600362804598</v>
      </c>
      <c r="O53" s="3">
        <v>4.0851013486868002</v>
      </c>
      <c r="P53" s="3">
        <v>6.5274075242527001</v>
      </c>
      <c r="Q53" s="3">
        <v>10.620080447984799</v>
      </c>
      <c r="R53" s="3">
        <v>0</v>
      </c>
      <c r="S53" s="3">
        <v>0</v>
      </c>
      <c r="T53" s="3">
        <v>0</v>
      </c>
      <c r="U53" s="3">
        <v>0</v>
      </c>
      <c r="V53" s="3">
        <v>0</v>
      </c>
      <c r="W53" s="3">
        <v>0</v>
      </c>
      <c r="X53" s="3">
        <v>2.6666666666666599</v>
      </c>
    </row>
    <row r="54" spans="1:24" x14ac:dyDescent="0.2">
      <c r="A54" s="1" t="s">
        <v>126</v>
      </c>
      <c r="B54" s="1" t="s">
        <v>127</v>
      </c>
      <c r="C54" s="1" t="s">
        <v>40</v>
      </c>
      <c r="D54" s="2">
        <v>60.088888888888803</v>
      </c>
      <c r="E54" s="2">
        <v>3.8</v>
      </c>
      <c r="F54" s="2">
        <v>3.79437869822485</v>
      </c>
      <c r="G54" s="2">
        <v>1.7277777777777701</v>
      </c>
      <c r="H54" s="2">
        <v>1.7252218934911201</v>
      </c>
      <c r="I54" s="2">
        <v>0.57222222222222197</v>
      </c>
      <c r="J54" s="2">
        <v>10.177777777777701</v>
      </c>
      <c r="K54" s="2">
        <v>0</v>
      </c>
      <c r="L54" s="2">
        <v>0</v>
      </c>
      <c r="M54" s="2">
        <v>1.6535555555555499</v>
      </c>
      <c r="N54" s="2">
        <v>4.84504437869822</v>
      </c>
      <c r="O54" s="2">
        <v>9.6823224852071004</v>
      </c>
      <c r="P54" s="2">
        <v>13.7801405325443</v>
      </c>
      <c r="Q54" s="2">
        <v>9.3585798816567998</v>
      </c>
      <c r="R54" s="2">
        <v>0</v>
      </c>
      <c r="S54" s="2">
        <v>4.7888888888888799</v>
      </c>
      <c r="T54" s="2">
        <v>0</v>
      </c>
      <c r="U54" s="2">
        <v>0</v>
      </c>
      <c r="V54" s="2">
        <v>0</v>
      </c>
      <c r="W54" s="2">
        <v>0</v>
      </c>
      <c r="X54" s="2">
        <v>0</v>
      </c>
    </row>
    <row r="55" spans="1:24" x14ac:dyDescent="0.2">
      <c r="A55" t="s">
        <v>128</v>
      </c>
      <c r="B55" t="s">
        <v>129</v>
      </c>
      <c r="C55" t="s">
        <v>29</v>
      </c>
      <c r="D55" s="3">
        <v>172.988888888888</v>
      </c>
      <c r="E55" s="3">
        <v>5.6888888888888802</v>
      </c>
      <c r="F55" s="3">
        <v>1.9731517759650501</v>
      </c>
      <c r="G55" s="3">
        <v>0.57777777777777695</v>
      </c>
      <c r="H55" s="3">
        <v>0.20039822724645101</v>
      </c>
      <c r="I55" s="3">
        <v>1.26388888888888</v>
      </c>
      <c r="J55" s="3">
        <v>5.4222222222222198</v>
      </c>
      <c r="K55" s="3">
        <v>0</v>
      </c>
      <c r="L55" s="3">
        <v>0</v>
      </c>
      <c r="M55" s="3">
        <v>5.4527777777777704</v>
      </c>
      <c r="N55" s="3">
        <v>5.0465668957543803</v>
      </c>
      <c r="O55" s="3">
        <v>13.6203352816494</v>
      </c>
      <c r="P55" s="3">
        <v>13.9064808272849</v>
      </c>
      <c r="Q55" s="3">
        <v>15.249534331042399</v>
      </c>
      <c r="R55" s="3">
        <v>0</v>
      </c>
      <c r="S55" s="3">
        <v>0</v>
      </c>
      <c r="T55" s="3">
        <v>0</v>
      </c>
      <c r="U55" s="3">
        <v>0</v>
      </c>
      <c r="V55" s="3">
        <v>6.1</v>
      </c>
      <c r="W55" s="3">
        <v>0</v>
      </c>
      <c r="X55" s="3">
        <v>0</v>
      </c>
    </row>
    <row r="56" spans="1:24" x14ac:dyDescent="0.2">
      <c r="A56" s="1" t="s">
        <v>130</v>
      </c>
      <c r="B56" s="1" t="s">
        <v>131</v>
      </c>
      <c r="C56" s="1" t="s">
        <v>29</v>
      </c>
      <c r="D56" s="2">
        <v>113.544444444444</v>
      </c>
      <c r="E56" s="2">
        <v>5.6</v>
      </c>
      <c r="F56" s="2">
        <v>2.9591936588707299</v>
      </c>
      <c r="G56" s="2">
        <v>0</v>
      </c>
      <c r="H56" s="2">
        <v>0</v>
      </c>
      <c r="I56" s="2">
        <v>0</v>
      </c>
      <c r="J56" s="2">
        <v>24.702777777777701</v>
      </c>
      <c r="K56" s="2">
        <v>0</v>
      </c>
      <c r="L56" s="2">
        <v>0</v>
      </c>
      <c r="M56" s="2">
        <v>5.2861111111111097</v>
      </c>
      <c r="N56" s="2">
        <v>11.84998532146</v>
      </c>
      <c r="O56" s="2">
        <v>6.0974655054310603</v>
      </c>
      <c r="P56" s="2">
        <v>3.3070750562677298</v>
      </c>
      <c r="Q56" s="2">
        <v>20.3738134846853</v>
      </c>
      <c r="R56" s="2">
        <v>0</v>
      </c>
      <c r="S56" s="2">
        <v>0</v>
      </c>
      <c r="T56" s="2">
        <v>0</v>
      </c>
      <c r="U56" s="2">
        <v>56.997222222222199</v>
      </c>
      <c r="V56" s="2">
        <v>0</v>
      </c>
      <c r="W56" s="2">
        <v>0</v>
      </c>
      <c r="X56" s="2">
        <v>0</v>
      </c>
    </row>
    <row r="57" spans="1:24" x14ac:dyDescent="0.2">
      <c r="A57" t="s">
        <v>132</v>
      </c>
      <c r="B57" t="s">
        <v>129</v>
      </c>
      <c r="C57" t="s">
        <v>29</v>
      </c>
      <c r="D57" s="3">
        <v>190.555555555555</v>
      </c>
      <c r="E57" s="3">
        <v>4.5333333333333297</v>
      </c>
      <c r="F57" s="3">
        <v>1.42740524781341</v>
      </c>
      <c r="G57" s="3">
        <v>0</v>
      </c>
      <c r="H57" s="3">
        <v>0</v>
      </c>
      <c r="I57" s="3">
        <v>0</v>
      </c>
      <c r="J57" s="3">
        <v>7.0517777777777697</v>
      </c>
      <c r="K57" s="3">
        <v>0</v>
      </c>
      <c r="L57" s="3">
        <v>0</v>
      </c>
      <c r="M57" s="3">
        <v>4.5333333333333297</v>
      </c>
      <c r="N57" s="3">
        <v>2.52990087463556</v>
      </c>
      <c r="O57" s="3">
        <v>11.9301690962099</v>
      </c>
      <c r="P57" s="3">
        <v>4.8683615160349802</v>
      </c>
      <c r="Q57" s="3">
        <v>4.8977492711370196</v>
      </c>
      <c r="R57" s="3">
        <v>0</v>
      </c>
      <c r="S57" s="3">
        <v>0</v>
      </c>
      <c r="T57" s="3">
        <v>0</v>
      </c>
      <c r="U57" s="3">
        <v>0</v>
      </c>
      <c r="V57" s="3">
        <v>0</v>
      </c>
      <c r="W57" s="3">
        <v>0</v>
      </c>
      <c r="X57" s="3">
        <v>0</v>
      </c>
    </row>
    <row r="58" spans="1:24" x14ac:dyDescent="0.2">
      <c r="A58" s="1" t="s">
        <v>133</v>
      </c>
      <c r="B58" s="1" t="s">
        <v>134</v>
      </c>
      <c r="C58" s="1" t="s">
        <v>29</v>
      </c>
      <c r="D58" s="2">
        <v>283.86666666666599</v>
      </c>
      <c r="E58" s="2">
        <v>4.5388888888888799</v>
      </c>
      <c r="F58" s="2">
        <v>0.95937059652418899</v>
      </c>
      <c r="G58" s="2">
        <v>1.31111111111111</v>
      </c>
      <c r="H58" s="2">
        <v>0.27712541099107502</v>
      </c>
      <c r="I58" s="2">
        <v>0</v>
      </c>
      <c r="J58" s="2">
        <v>14.0755555555555</v>
      </c>
      <c r="K58" s="2">
        <v>0</v>
      </c>
      <c r="L58" s="2">
        <v>0</v>
      </c>
      <c r="M58" s="2">
        <v>4.6849999999999996</v>
      </c>
      <c r="N58" s="2">
        <v>4.5676373884452701</v>
      </c>
      <c r="O58" s="2">
        <v>3.5613433536871701</v>
      </c>
      <c r="P58" s="2">
        <v>6.6625645843118804</v>
      </c>
      <c r="Q58" s="2">
        <v>8.5285110380460303</v>
      </c>
      <c r="R58" s="2">
        <v>0</v>
      </c>
      <c r="S58" s="2">
        <v>4.2438888888888799</v>
      </c>
      <c r="T58" s="2">
        <v>0</v>
      </c>
      <c r="U58" s="2">
        <v>40.878999999999998</v>
      </c>
      <c r="V58" s="2">
        <v>0</v>
      </c>
      <c r="W58" s="2">
        <v>0</v>
      </c>
      <c r="X58" s="2">
        <v>0</v>
      </c>
    </row>
    <row r="59" spans="1:24" x14ac:dyDescent="0.2">
      <c r="A59" t="s">
        <v>135</v>
      </c>
      <c r="B59" t="s">
        <v>136</v>
      </c>
      <c r="C59" t="s">
        <v>40</v>
      </c>
      <c r="D59" s="3">
        <v>33.533333333333303</v>
      </c>
      <c r="E59" s="3">
        <v>0.86666666666666603</v>
      </c>
      <c r="F59" s="3">
        <v>1.5506958250497</v>
      </c>
      <c r="G59" s="3">
        <v>0</v>
      </c>
      <c r="H59" s="3">
        <v>0</v>
      </c>
      <c r="I59" s="3">
        <v>0.57222222222222197</v>
      </c>
      <c r="J59" s="3">
        <v>2.8</v>
      </c>
      <c r="K59" s="3">
        <v>0</v>
      </c>
      <c r="L59" s="3">
        <v>0</v>
      </c>
      <c r="M59" s="3">
        <v>0.40500000000000003</v>
      </c>
      <c r="N59" s="3">
        <v>0</v>
      </c>
      <c r="O59" s="3">
        <v>20.447316103379698</v>
      </c>
      <c r="P59" s="3">
        <v>3.9256461232604298</v>
      </c>
      <c r="Q59" s="3">
        <v>16.7544731610338</v>
      </c>
      <c r="R59" s="3">
        <v>0</v>
      </c>
      <c r="S59" s="3">
        <v>0</v>
      </c>
      <c r="T59" s="3">
        <v>0</v>
      </c>
      <c r="U59" s="3">
        <v>0</v>
      </c>
      <c r="V59" s="3">
        <v>0</v>
      </c>
      <c r="W59" s="3">
        <v>0</v>
      </c>
      <c r="X59" s="3">
        <v>0</v>
      </c>
    </row>
    <row r="60" spans="1:24" x14ac:dyDescent="0.2">
      <c r="A60" s="1" t="s">
        <v>137</v>
      </c>
      <c r="B60" s="1" t="s">
        <v>25</v>
      </c>
      <c r="C60" s="1" t="s">
        <v>26</v>
      </c>
      <c r="D60" s="2">
        <v>129.25555555555499</v>
      </c>
      <c r="E60" s="2">
        <v>5.25</v>
      </c>
      <c r="F60" s="2">
        <v>2.43703257973007</v>
      </c>
      <c r="G60" s="2">
        <v>5.1666666666666599</v>
      </c>
      <c r="H60" s="2">
        <v>2.3983495229089602</v>
      </c>
      <c r="I60" s="2">
        <v>0</v>
      </c>
      <c r="J60" s="2">
        <v>4.8886666666666603</v>
      </c>
      <c r="K60" s="2">
        <v>0</v>
      </c>
      <c r="L60" s="2">
        <v>0</v>
      </c>
      <c r="M60" s="2">
        <v>0.97499999999999998</v>
      </c>
      <c r="N60" s="2">
        <v>4.02045903894094</v>
      </c>
      <c r="O60" s="2">
        <v>8.7230293131608292</v>
      </c>
      <c r="P60" s="2">
        <v>9.0544141665950306</v>
      </c>
      <c r="Q60" s="2">
        <v>7.0016332846213301</v>
      </c>
      <c r="R60" s="2">
        <v>0</v>
      </c>
      <c r="S60" s="2">
        <v>0</v>
      </c>
      <c r="T60" s="2">
        <v>0</v>
      </c>
      <c r="U60" s="2">
        <v>0</v>
      </c>
      <c r="V60" s="2">
        <v>0</v>
      </c>
      <c r="W60" s="2">
        <v>0</v>
      </c>
      <c r="X60" s="2">
        <v>0</v>
      </c>
    </row>
    <row r="61" spans="1:24" x14ac:dyDescent="0.2">
      <c r="A61" t="s">
        <v>138</v>
      </c>
      <c r="B61" t="s">
        <v>35</v>
      </c>
      <c r="C61" t="s">
        <v>29</v>
      </c>
      <c r="D61" s="3">
        <v>119.033333333333</v>
      </c>
      <c r="E61" s="3">
        <v>4.5833333333333304</v>
      </c>
      <c r="F61" s="3">
        <v>2.3102772332679899</v>
      </c>
      <c r="G61" s="3">
        <v>9.4166666666666607</v>
      </c>
      <c r="H61" s="3">
        <v>4.7465695883506003</v>
      </c>
      <c r="I61" s="3">
        <v>0</v>
      </c>
      <c r="J61" s="3">
        <v>10.5033333333333</v>
      </c>
      <c r="K61" s="3">
        <v>0</v>
      </c>
      <c r="L61" s="3">
        <v>20.3955555555555</v>
      </c>
      <c r="M61" s="3">
        <v>23.7488888888888</v>
      </c>
      <c r="N61" s="3">
        <v>11.7255670680481</v>
      </c>
      <c r="O61" s="3">
        <v>1.93167180061607</v>
      </c>
      <c r="P61" s="3">
        <v>18.087930551666201</v>
      </c>
      <c r="Q61" s="3">
        <v>24.291795015401799</v>
      </c>
      <c r="R61" s="3">
        <v>0</v>
      </c>
      <c r="S61" s="3">
        <v>100.64777777777699</v>
      </c>
      <c r="T61" s="3">
        <v>0</v>
      </c>
      <c r="U61" s="3">
        <v>0</v>
      </c>
      <c r="V61" s="3">
        <v>112.335555555555</v>
      </c>
      <c r="W61" s="3">
        <v>0</v>
      </c>
      <c r="X61" s="3">
        <v>0.483333333333333</v>
      </c>
    </row>
    <row r="62" spans="1:24" x14ac:dyDescent="0.2">
      <c r="A62" s="1" t="s">
        <v>139</v>
      </c>
      <c r="B62" s="1" t="s">
        <v>33</v>
      </c>
      <c r="C62" s="1" t="s">
        <v>29</v>
      </c>
      <c r="D62" s="2">
        <v>150.78888888888801</v>
      </c>
      <c r="E62" s="2">
        <v>5.25</v>
      </c>
      <c r="F62" s="2">
        <v>2.08901333726328</v>
      </c>
      <c r="G62" s="2">
        <v>0</v>
      </c>
      <c r="H62" s="2">
        <v>0</v>
      </c>
      <c r="I62" s="2">
        <v>0</v>
      </c>
      <c r="J62" s="2">
        <v>9.8416666666666597</v>
      </c>
      <c r="K62" s="2">
        <v>0</v>
      </c>
      <c r="L62" s="2">
        <v>0</v>
      </c>
      <c r="M62" s="2">
        <v>5.25</v>
      </c>
      <c r="N62" s="2">
        <v>3.87959619777466</v>
      </c>
      <c r="O62" s="2">
        <v>11.7968462161963</v>
      </c>
      <c r="P62" s="2">
        <v>12.052170068528399</v>
      </c>
      <c r="Q62" s="2">
        <v>10.8286051138457</v>
      </c>
      <c r="R62" s="2">
        <v>0</v>
      </c>
      <c r="S62" s="2">
        <v>0</v>
      </c>
      <c r="T62" s="2">
        <v>0</v>
      </c>
      <c r="U62" s="2">
        <v>0</v>
      </c>
      <c r="V62" s="2">
        <v>0</v>
      </c>
      <c r="W62" s="2">
        <v>0</v>
      </c>
      <c r="X62" s="2">
        <v>0</v>
      </c>
    </row>
    <row r="63" spans="1:24" x14ac:dyDescent="0.2">
      <c r="A63" t="s">
        <v>140</v>
      </c>
      <c r="B63" t="s">
        <v>52</v>
      </c>
      <c r="C63" t="s">
        <v>50</v>
      </c>
      <c r="D63" s="3">
        <v>146.544444444444</v>
      </c>
      <c r="E63" s="3">
        <v>5.4222222222222198</v>
      </c>
      <c r="F63" s="3">
        <v>2.2200318447190801</v>
      </c>
      <c r="G63" s="3">
        <v>0.21288888888888799</v>
      </c>
      <c r="H63" s="3">
        <v>8.7163545378724602E-2</v>
      </c>
      <c r="I63" s="3">
        <v>0</v>
      </c>
      <c r="J63" s="3">
        <v>6.2001111111111102</v>
      </c>
      <c r="K63" s="3">
        <v>0</v>
      </c>
      <c r="L63" s="3">
        <v>5.0577777777777699</v>
      </c>
      <c r="M63" s="3">
        <v>6.3686666666666598</v>
      </c>
      <c r="N63" s="3">
        <v>5.4536810978846004</v>
      </c>
      <c r="O63" s="3">
        <v>11.240366972477</v>
      </c>
      <c r="P63" s="3">
        <v>10.254408977177899</v>
      </c>
      <c r="Q63" s="3">
        <v>7.5260899234210301</v>
      </c>
      <c r="R63" s="3">
        <v>0</v>
      </c>
      <c r="S63" s="3">
        <v>0</v>
      </c>
      <c r="T63" s="3">
        <v>0</v>
      </c>
      <c r="U63" s="3">
        <v>0</v>
      </c>
      <c r="V63" s="3">
        <v>0</v>
      </c>
      <c r="W63" s="3">
        <v>0</v>
      </c>
      <c r="X63" s="3">
        <v>1.14966666666666</v>
      </c>
    </row>
    <row r="64" spans="1:24" x14ac:dyDescent="0.2">
      <c r="A64" s="1" t="s">
        <v>141</v>
      </c>
      <c r="B64" s="1" t="s">
        <v>142</v>
      </c>
      <c r="C64" s="1" t="s">
        <v>50</v>
      </c>
      <c r="D64" s="2">
        <v>144.766666666666</v>
      </c>
      <c r="E64" s="2">
        <v>5.5111111111111102</v>
      </c>
      <c r="F64" s="2">
        <v>2.2841353902832102</v>
      </c>
      <c r="G64" s="2">
        <v>1.64611111111111</v>
      </c>
      <c r="H64" s="2">
        <v>0.68224729449689103</v>
      </c>
      <c r="I64" s="2">
        <v>0</v>
      </c>
      <c r="J64" s="2">
        <v>5.7277777777777699</v>
      </c>
      <c r="K64" s="2">
        <v>0</v>
      </c>
      <c r="L64" s="2">
        <v>6.4822222222222203</v>
      </c>
      <c r="M64" s="2">
        <v>10.1011111111111</v>
      </c>
      <c r="N64" s="2">
        <v>5.1657379691457503</v>
      </c>
      <c r="O64" s="2">
        <v>9.16228413539028</v>
      </c>
      <c r="P64" s="2">
        <v>16.782362422288699</v>
      </c>
      <c r="Q64" s="2">
        <v>16.392769974671801</v>
      </c>
      <c r="R64" s="2">
        <v>0</v>
      </c>
      <c r="S64" s="2">
        <v>0</v>
      </c>
      <c r="T64" s="2">
        <v>0</v>
      </c>
      <c r="U64" s="2">
        <v>0</v>
      </c>
      <c r="V64" s="2">
        <v>0</v>
      </c>
      <c r="W64" s="2">
        <v>0</v>
      </c>
      <c r="X64" s="2">
        <v>1.2405555555555501</v>
      </c>
    </row>
    <row r="65" spans="1:24" x14ac:dyDescent="0.2">
      <c r="A65" t="s">
        <v>143</v>
      </c>
      <c r="B65" t="s">
        <v>75</v>
      </c>
      <c r="C65" t="s">
        <v>64</v>
      </c>
      <c r="D65" s="3">
        <v>102.45555555555499</v>
      </c>
      <c r="E65" s="3">
        <v>5.6</v>
      </c>
      <c r="F65" s="3">
        <v>3.2794707732349999</v>
      </c>
      <c r="G65" s="3">
        <v>0.6</v>
      </c>
      <c r="H65" s="3">
        <v>0.35137186856089297</v>
      </c>
      <c r="I65" s="3">
        <v>0.72777777777777697</v>
      </c>
      <c r="J65" s="3">
        <v>1.25722222222222</v>
      </c>
      <c r="K65" s="3">
        <v>0</v>
      </c>
      <c r="L65" s="3">
        <v>6.7222222222222197</v>
      </c>
      <c r="M65" s="3">
        <v>9.7644444444444396</v>
      </c>
      <c r="N65" s="3">
        <v>6.2153779416549098</v>
      </c>
      <c r="O65" s="3">
        <v>9.6114521201605001</v>
      </c>
      <c r="P65" s="3">
        <v>12.5321982431406</v>
      </c>
      <c r="Q65" s="3">
        <v>10.9069732133174</v>
      </c>
      <c r="R65" s="3">
        <v>0</v>
      </c>
      <c r="S65" s="3">
        <v>0</v>
      </c>
      <c r="T65" s="3">
        <v>0</v>
      </c>
      <c r="U65" s="3">
        <v>0</v>
      </c>
      <c r="V65" s="3">
        <v>24.0073333333333</v>
      </c>
      <c r="W65" s="3">
        <v>0</v>
      </c>
      <c r="X65" s="3">
        <v>0.180555555555555</v>
      </c>
    </row>
    <row r="66" spans="1:24" x14ac:dyDescent="0.2">
      <c r="A66" s="1" t="s">
        <v>144</v>
      </c>
      <c r="B66" s="1" t="s">
        <v>145</v>
      </c>
      <c r="C66" s="1" t="s">
        <v>29</v>
      </c>
      <c r="D66" s="2">
        <v>115.75555555555501</v>
      </c>
      <c r="E66" s="2">
        <v>4.2677777777777699</v>
      </c>
      <c r="F66" s="2">
        <v>2.2121328469955799</v>
      </c>
      <c r="G66" s="2">
        <v>0</v>
      </c>
      <c r="H66" s="2">
        <v>0</v>
      </c>
      <c r="I66" s="2">
        <v>0</v>
      </c>
      <c r="J66" s="2">
        <v>4.3499999999999996</v>
      </c>
      <c r="K66" s="2">
        <v>0</v>
      </c>
      <c r="L66" s="2">
        <v>0</v>
      </c>
      <c r="M66" s="2">
        <v>4.0199999999999996</v>
      </c>
      <c r="N66" s="2">
        <v>4.5797657899788797</v>
      </c>
      <c r="O66" s="2">
        <v>10.0239969283931</v>
      </c>
      <c r="P66" s="2">
        <v>11.585333077366</v>
      </c>
      <c r="Q66" s="2">
        <v>13.525628719523899</v>
      </c>
      <c r="R66" s="2">
        <v>0</v>
      </c>
      <c r="S66" s="2">
        <v>0</v>
      </c>
      <c r="T66" s="2">
        <v>0</v>
      </c>
      <c r="U66" s="2">
        <v>0</v>
      </c>
      <c r="V66" s="2">
        <v>0</v>
      </c>
      <c r="W66" s="2">
        <v>0</v>
      </c>
      <c r="X66" s="2">
        <v>0</v>
      </c>
    </row>
    <row r="67" spans="1:24" x14ac:dyDescent="0.2">
      <c r="A67" t="s">
        <v>146</v>
      </c>
      <c r="B67" t="s">
        <v>95</v>
      </c>
      <c r="C67" t="s">
        <v>64</v>
      </c>
      <c r="D67" s="3">
        <v>245.47777777777699</v>
      </c>
      <c r="E67" s="3">
        <v>5.0666666666666602</v>
      </c>
      <c r="F67" s="3">
        <v>1.2384013035803101</v>
      </c>
      <c r="G67" s="3">
        <v>0.57777777777777695</v>
      </c>
      <c r="H67" s="3">
        <v>0.141221201285475</v>
      </c>
      <c r="I67" s="3">
        <v>0.44444444444444398</v>
      </c>
      <c r="J67" s="3">
        <v>10.577777777777699</v>
      </c>
      <c r="K67" s="3">
        <v>0</v>
      </c>
      <c r="L67" s="3">
        <v>11.466666666666599</v>
      </c>
      <c r="M67" s="3">
        <v>10.5722222222222</v>
      </c>
      <c r="N67" s="3">
        <v>6.0107273797130301</v>
      </c>
      <c r="O67" s="3">
        <v>5.5377993029466301</v>
      </c>
      <c r="P67" s="3">
        <v>7.6790386095143202</v>
      </c>
      <c r="Q67" s="3">
        <v>11.3009822115602</v>
      </c>
      <c r="R67" s="3">
        <v>0</v>
      </c>
      <c r="S67" s="3">
        <v>0</v>
      </c>
      <c r="T67" s="3">
        <v>0.6</v>
      </c>
      <c r="U67" s="3">
        <v>0</v>
      </c>
      <c r="V67" s="3">
        <v>0</v>
      </c>
      <c r="W67" s="3">
        <v>0</v>
      </c>
      <c r="X67" s="3">
        <v>5.2888888888888799</v>
      </c>
    </row>
    <row r="68" spans="1:24" x14ac:dyDescent="0.2">
      <c r="A68" s="1" t="s">
        <v>147</v>
      </c>
      <c r="B68" s="1" t="s">
        <v>49</v>
      </c>
      <c r="C68" s="1" t="s">
        <v>50</v>
      </c>
      <c r="D68" s="2">
        <v>112.45555555555499</v>
      </c>
      <c r="E68" s="2">
        <v>10.074111111111099</v>
      </c>
      <c r="F68" s="2">
        <v>5.3749827092184503</v>
      </c>
      <c r="G68" s="2">
        <v>2.1878888888888799</v>
      </c>
      <c r="H68" s="2">
        <v>1.167335243553</v>
      </c>
      <c r="I68" s="2">
        <v>0</v>
      </c>
      <c r="J68" s="2">
        <v>3.88888888888888</v>
      </c>
      <c r="K68" s="2">
        <v>0</v>
      </c>
      <c r="L68" s="2">
        <v>0</v>
      </c>
      <c r="M68" s="2">
        <v>5.5694444444444402</v>
      </c>
      <c r="N68" s="2">
        <v>7.2045054836478597</v>
      </c>
      <c r="O68" s="2">
        <v>7.0494812765537</v>
      </c>
      <c r="P68" s="2">
        <v>6.5581464282185502</v>
      </c>
      <c r="Q68" s="2">
        <v>8.8746171326943895</v>
      </c>
      <c r="R68" s="2">
        <v>0</v>
      </c>
      <c r="S68" s="2">
        <v>0</v>
      </c>
      <c r="T68" s="2">
        <v>0</v>
      </c>
      <c r="U68" s="2">
        <v>0</v>
      </c>
      <c r="V68" s="2">
        <v>0</v>
      </c>
      <c r="W68" s="2">
        <v>0</v>
      </c>
      <c r="X68" s="2">
        <v>0</v>
      </c>
    </row>
    <row r="69" spans="1:24" x14ac:dyDescent="0.2">
      <c r="A69" t="s">
        <v>148</v>
      </c>
      <c r="B69" t="s">
        <v>149</v>
      </c>
      <c r="C69" t="s">
        <v>50</v>
      </c>
      <c r="D69" s="3">
        <v>96.677777777777706</v>
      </c>
      <c r="E69" s="3">
        <v>4.8611111111111098</v>
      </c>
      <c r="F69" s="3">
        <v>3.01689460981496</v>
      </c>
      <c r="G69" s="3">
        <v>0</v>
      </c>
      <c r="H69" s="3">
        <v>0</v>
      </c>
      <c r="I69" s="3">
        <v>0</v>
      </c>
      <c r="J69" s="3">
        <v>5.3194444444444402</v>
      </c>
      <c r="K69" s="3">
        <v>0</v>
      </c>
      <c r="L69" s="3">
        <v>0</v>
      </c>
      <c r="M69" s="3">
        <v>5.5111111111111102</v>
      </c>
      <c r="N69" s="3">
        <v>3.25135041949201</v>
      </c>
      <c r="O69" s="3">
        <v>16.376600390759599</v>
      </c>
      <c r="P69" s="3">
        <v>6.7268130099988497</v>
      </c>
      <c r="Q69" s="3">
        <v>4.90391908975979</v>
      </c>
      <c r="R69" s="3">
        <v>0</v>
      </c>
      <c r="S69" s="3">
        <v>0</v>
      </c>
      <c r="T69" s="3">
        <v>0</v>
      </c>
      <c r="U69" s="3">
        <v>0</v>
      </c>
      <c r="V69" s="3">
        <v>0</v>
      </c>
      <c r="W69" s="3">
        <v>0</v>
      </c>
      <c r="X69" s="3">
        <v>0</v>
      </c>
    </row>
    <row r="70" spans="1:24" x14ac:dyDescent="0.2">
      <c r="A70" s="1" t="s">
        <v>150</v>
      </c>
      <c r="B70" s="1" t="s">
        <v>151</v>
      </c>
      <c r="C70" s="1" t="s">
        <v>29</v>
      </c>
      <c r="D70" s="2">
        <v>86.744444444444397</v>
      </c>
      <c r="E70" s="2">
        <v>5.6</v>
      </c>
      <c r="F70" s="2">
        <v>3.8734469066222599</v>
      </c>
      <c r="G70" s="2">
        <v>0</v>
      </c>
      <c r="H70" s="2">
        <v>0</v>
      </c>
      <c r="I70" s="2">
        <v>0</v>
      </c>
      <c r="J70" s="2">
        <v>4.0694444444444402</v>
      </c>
      <c r="K70" s="2">
        <v>0</v>
      </c>
      <c r="L70" s="2">
        <v>0</v>
      </c>
      <c r="M70" s="2">
        <v>5.2111111111111104</v>
      </c>
      <c r="N70" s="2">
        <v>9.4588190085820401</v>
      </c>
      <c r="O70" s="2">
        <v>14.1449980786473</v>
      </c>
      <c r="P70" s="2">
        <v>19.332342769309498</v>
      </c>
      <c r="Q70" s="2">
        <v>16.396823363648</v>
      </c>
      <c r="R70" s="2">
        <v>0</v>
      </c>
      <c r="S70" s="2">
        <v>0</v>
      </c>
      <c r="T70" s="2">
        <v>0</v>
      </c>
      <c r="U70" s="2">
        <v>0</v>
      </c>
      <c r="V70" s="2">
        <v>0</v>
      </c>
      <c r="W70" s="2">
        <v>0</v>
      </c>
      <c r="X70" s="2">
        <v>0</v>
      </c>
    </row>
    <row r="71" spans="1:24" x14ac:dyDescent="0.2">
      <c r="A71" t="s">
        <v>152</v>
      </c>
      <c r="B71" t="s">
        <v>79</v>
      </c>
      <c r="C71" t="s">
        <v>29</v>
      </c>
      <c r="D71" s="3">
        <v>149.30000000000001</v>
      </c>
      <c r="E71" s="3">
        <v>5.5111111111111102</v>
      </c>
      <c r="F71" s="3">
        <v>2.2147800848403598</v>
      </c>
      <c r="G71" s="3">
        <v>0</v>
      </c>
      <c r="H71" s="3">
        <v>0</v>
      </c>
      <c r="I71" s="3">
        <v>0</v>
      </c>
      <c r="J71" s="3">
        <v>12.802777777777701</v>
      </c>
      <c r="K71" s="3">
        <v>0</v>
      </c>
      <c r="L71" s="3">
        <v>0</v>
      </c>
      <c r="M71" s="3">
        <v>9.9694444444444397</v>
      </c>
      <c r="N71" s="3">
        <v>8.1725831658852393</v>
      </c>
      <c r="O71" s="3">
        <v>9.7019423978566603</v>
      </c>
      <c r="P71" s="3">
        <v>11.1286001339584</v>
      </c>
      <c r="Q71" s="3">
        <v>13.213887028354501</v>
      </c>
      <c r="R71" s="3">
        <v>0</v>
      </c>
      <c r="S71" s="3">
        <v>1.0805555555555499</v>
      </c>
      <c r="T71" s="3">
        <v>0</v>
      </c>
      <c r="U71" s="3">
        <v>0</v>
      </c>
      <c r="V71" s="3">
        <v>1.0833333333333299</v>
      </c>
      <c r="W71" s="3">
        <v>0</v>
      </c>
      <c r="X71" s="3">
        <v>0</v>
      </c>
    </row>
    <row r="72" spans="1:24" x14ac:dyDescent="0.2">
      <c r="A72" s="1" t="s">
        <v>153</v>
      </c>
      <c r="B72" s="1" t="s">
        <v>83</v>
      </c>
      <c r="C72" s="1" t="s">
        <v>50</v>
      </c>
      <c r="D72" s="2">
        <v>155.25555555555499</v>
      </c>
      <c r="E72" s="2">
        <v>4.3555555555555499</v>
      </c>
      <c r="F72" s="2">
        <v>1.6832462606455301</v>
      </c>
      <c r="G72" s="2">
        <v>0</v>
      </c>
      <c r="H72" s="2">
        <v>0</v>
      </c>
      <c r="I72" s="2">
        <v>0</v>
      </c>
      <c r="J72" s="2">
        <v>0</v>
      </c>
      <c r="K72" s="2">
        <v>0</v>
      </c>
      <c r="L72" s="2">
        <v>0</v>
      </c>
      <c r="M72" s="2">
        <v>4.8805555555555502</v>
      </c>
      <c r="N72" s="2">
        <v>4.4646818864953799</v>
      </c>
      <c r="O72" s="2">
        <v>9.5391111429184807</v>
      </c>
      <c r="P72" s="2">
        <v>5.0819437486581203</v>
      </c>
      <c r="Q72" s="2">
        <v>8.2637944607457197</v>
      </c>
      <c r="R72" s="2">
        <v>0</v>
      </c>
      <c r="S72" s="2">
        <v>0</v>
      </c>
      <c r="T72" s="2">
        <v>0</v>
      </c>
      <c r="U72" s="2">
        <v>95.05</v>
      </c>
      <c r="V72" s="2">
        <v>0</v>
      </c>
      <c r="W72" s="2">
        <v>0</v>
      </c>
      <c r="X72" s="2">
        <v>0</v>
      </c>
    </row>
    <row r="73" spans="1:24" x14ac:dyDescent="0.2">
      <c r="A73" t="s">
        <v>154</v>
      </c>
      <c r="B73" t="s">
        <v>155</v>
      </c>
      <c r="C73" t="s">
        <v>58</v>
      </c>
      <c r="D73" s="3">
        <v>228.63333333333301</v>
      </c>
      <c r="E73" s="3">
        <v>4.25</v>
      </c>
      <c r="F73" s="3">
        <v>1.1153229333722099</v>
      </c>
      <c r="G73" s="3">
        <v>0</v>
      </c>
      <c r="H73" s="3">
        <v>0</v>
      </c>
      <c r="I73" s="3">
        <v>0</v>
      </c>
      <c r="J73" s="3">
        <v>0</v>
      </c>
      <c r="K73" s="3">
        <v>0</v>
      </c>
      <c r="L73" s="3">
        <v>0</v>
      </c>
      <c r="M73" s="3">
        <v>10.7694444444444</v>
      </c>
      <c r="N73" s="3">
        <v>4.7455897361131303</v>
      </c>
      <c r="O73" s="3">
        <v>10.4993439276862</v>
      </c>
      <c r="P73" s="3">
        <v>8.5296690479661699</v>
      </c>
      <c r="Q73" s="3">
        <v>12.733634640618099</v>
      </c>
      <c r="R73" s="3">
        <v>0</v>
      </c>
      <c r="S73" s="3">
        <v>0</v>
      </c>
      <c r="T73" s="3">
        <v>0</v>
      </c>
      <c r="U73" s="3">
        <v>4.4222222222222198</v>
      </c>
      <c r="V73" s="3">
        <v>0</v>
      </c>
      <c r="W73" s="3">
        <v>0</v>
      </c>
      <c r="X73" s="3">
        <v>0</v>
      </c>
    </row>
    <row r="74" spans="1:24" x14ac:dyDescent="0.2">
      <c r="A74" s="1" t="s">
        <v>156</v>
      </c>
      <c r="B74" s="1" t="s">
        <v>157</v>
      </c>
      <c r="C74" s="1" t="s">
        <v>50</v>
      </c>
      <c r="D74" s="2">
        <v>112.333333333333</v>
      </c>
      <c r="E74" s="2">
        <v>4.9166666666666599</v>
      </c>
      <c r="F74" s="2">
        <v>2.62611275964391</v>
      </c>
      <c r="G74" s="2">
        <v>0</v>
      </c>
      <c r="H74" s="2">
        <v>0</v>
      </c>
      <c r="I74" s="2">
        <v>0</v>
      </c>
      <c r="J74" s="2">
        <v>5.25</v>
      </c>
      <c r="K74" s="2">
        <v>0</v>
      </c>
      <c r="L74" s="2">
        <v>0</v>
      </c>
      <c r="M74" s="2">
        <v>4.9111111111111097</v>
      </c>
      <c r="N74" s="2">
        <v>4.7967359050445104</v>
      </c>
      <c r="O74" s="2">
        <v>13.9985163204747</v>
      </c>
      <c r="P74" s="2">
        <v>5.8442136498516302</v>
      </c>
      <c r="Q74" s="2">
        <v>11.1379821958457</v>
      </c>
      <c r="R74" s="2">
        <v>0</v>
      </c>
      <c r="S74" s="2">
        <v>0</v>
      </c>
      <c r="T74" s="2">
        <v>0</v>
      </c>
      <c r="U74" s="2">
        <v>60.188888888888798</v>
      </c>
      <c r="V74" s="2">
        <v>0</v>
      </c>
      <c r="W74" s="2">
        <v>0</v>
      </c>
      <c r="X74" s="2">
        <v>0</v>
      </c>
    </row>
    <row r="75" spans="1:24" x14ac:dyDescent="0.2">
      <c r="A75" t="s">
        <v>158</v>
      </c>
      <c r="B75" t="s">
        <v>159</v>
      </c>
      <c r="C75" t="s">
        <v>29</v>
      </c>
      <c r="D75" s="3">
        <v>153.51111111111101</v>
      </c>
      <c r="E75" s="3">
        <v>5.5111111111111102</v>
      </c>
      <c r="F75" s="3">
        <v>2.1540243196294102</v>
      </c>
      <c r="G75" s="3">
        <v>0</v>
      </c>
      <c r="H75" s="3">
        <v>0</v>
      </c>
      <c r="I75" s="3">
        <v>0</v>
      </c>
      <c r="J75" s="3">
        <v>26.211555555555499</v>
      </c>
      <c r="K75" s="3">
        <v>0</v>
      </c>
      <c r="L75" s="3">
        <v>0</v>
      </c>
      <c r="M75" s="3">
        <v>9.5779999999999994</v>
      </c>
      <c r="N75" s="3">
        <v>6.2514475969889904</v>
      </c>
      <c r="O75" s="3">
        <v>9.2815431383902691</v>
      </c>
      <c r="P75" s="3">
        <v>20.000636942675101</v>
      </c>
      <c r="Q75" s="3">
        <v>13.7061957151129</v>
      </c>
      <c r="R75" s="3">
        <v>0</v>
      </c>
      <c r="S75" s="3">
        <v>1.0353333333333301</v>
      </c>
      <c r="T75" s="3">
        <v>0</v>
      </c>
      <c r="U75" s="3">
        <v>0</v>
      </c>
      <c r="V75" s="3">
        <v>0</v>
      </c>
      <c r="W75" s="3">
        <v>0</v>
      </c>
      <c r="X75" s="3">
        <v>0</v>
      </c>
    </row>
    <row r="76" spans="1:24" x14ac:dyDescent="0.2">
      <c r="A76" s="1" t="s">
        <v>160</v>
      </c>
      <c r="B76" s="1" t="s">
        <v>159</v>
      </c>
      <c r="C76" s="1" t="s">
        <v>29</v>
      </c>
      <c r="D76" s="2">
        <v>14.811111111111099</v>
      </c>
      <c r="E76" s="2">
        <v>3.1666666666666599</v>
      </c>
      <c r="F76" s="2">
        <v>12.828207051762901</v>
      </c>
      <c r="G76" s="2">
        <v>0.43333333333333302</v>
      </c>
      <c r="H76" s="2">
        <v>1.75543885971492</v>
      </c>
      <c r="I76" s="2">
        <v>0.211111111111111</v>
      </c>
      <c r="J76" s="2">
        <v>1.45366666666666</v>
      </c>
      <c r="K76" s="2">
        <v>0</v>
      </c>
      <c r="L76" s="2">
        <v>0</v>
      </c>
      <c r="M76" s="2">
        <v>0.33122222222222197</v>
      </c>
      <c r="N76" s="2">
        <v>16.749137284321002</v>
      </c>
      <c r="O76" s="2">
        <v>7.8270067516879198</v>
      </c>
      <c r="P76" s="2">
        <v>26.381095273818399</v>
      </c>
      <c r="Q76" s="2">
        <v>17.374343585896401</v>
      </c>
      <c r="R76" s="2">
        <v>0</v>
      </c>
      <c r="S76" s="2">
        <v>0</v>
      </c>
      <c r="T76" s="2">
        <v>0</v>
      </c>
      <c r="U76" s="2">
        <v>0</v>
      </c>
      <c r="V76" s="2">
        <v>0</v>
      </c>
      <c r="W76" s="2">
        <v>0</v>
      </c>
      <c r="X76" s="2">
        <v>0</v>
      </c>
    </row>
    <row r="77" spans="1:24" x14ac:dyDescent="0.2">
      <c r="A77" t="s">
        <v>161</v>
      </c>
      <c r="B77" t="s">
        <v>162</v>
      </c>
      <c r="C77" t="s">
        <v>29</v>
      </c>
      <c r="D77" s="3">
        <v>279.08888888888799</v>
      </c>
      <c r="E77" s="3">
        <v>9.5055555555555493</v>
      </c>
      <c r="F77" s="3">
        <v>2.0435544231228602</v>
      </c>
      <c r="G77" s="3">
        <v>0</v>
      </c>
      <c r="H77" s="3">
        <v>0</v>
      </c>
      <c r="I77" s="3">
        <v>0</v>
      </c>
      <c r="J77" s="3">
        <v>16.341666666666601</v>
      </c>
      <c r="K77" s="3">
        <v>0</v>
      </c>
      <c r="L77" s="3">
        <v>0</v>
      </c>
      <c r="M77" s="3">
        <v>3.2601111111111098</v>
      </c>
      <c r="N77" s="3">
        <v>6.1008042041563799</v>
      </c>
      <c r="O77" s="3">
        <v>8.90875069671152</v>
      </c>
      <c r="P77" s="3">
        <v>3.6426387451230098</v>
      </c>
      <c r="Q77" s="3">
        <v>4.2249144040130497</v>
      </c>
      <c r="R77" s="3">
        <v>0</v>
      </c>
      <c r="S77" s="3">
        <v>9.5638888888888793</v>
      </c>
      <c r="T77" s="3">
        <v>0</v>
      </c>
      <c r="U77" s="3">
        <v>0</v>
      </c>
      <c r="V77" s="3">
        <v>0</v>
      </c>
      <c r="W77" s="3">
        <v>0</v>
      </c>
      <c r="X77" s="3">
        <v>0</v>
      </c>
    </row>
    <row r="78" spans="1:24" x14ac:dyDescent="0.2">
      <c r="A78" s="1" t="s">
        <v>163</v>
      </c>
      <c r="B78" s="1" t="s">
        <v>164</v>
      </c>
      <c r="C78" s="1" t="s">
        <v>29</v>
      </c>
      <c r="D78" s="2">
        <v>74.811111111111103</v>
      </c>
      <c r="E78" s="2">
        <v>4.3333333333333304</v>
      </c>
      <c r="F78" s="2">
        <v>3.47541957522649</v>
      </c>
      <c r="G78" s="2">
        <v>2.8444444444444401</v>
      </c>
      <c r="H78" s="2">
        <v>2.2813010545076402</v>
      </c>
      <c r="I78" s="2">
        <v>0</v>
      </c>
      <c r="J78" s="2">
        <v>4.6472222222222204</v>
      </c>
      <c r="K78" s="2">
        <v>0</v>
      </c>
      <c r="L78" s="2">
        <v>0</v>
      </c>
      <c r="M78" s="2">
        <v>3.4416666666666602</v>
      </c>
      <c r="N78" s="2">
        <v>6.5498291994653099</v>
      </c>
      <c r="O78" s="2">
        <v>22.9511361948611</v>
      </c>
      <c r="P78" s="2">
        <v>25.370562899153398</v>
      </c>
      <c r="Q78" s="2">
        <v>35.921580276251298</v>
      </c>
      <c r="R78" s="2">
        <v>0</v>
      </c>
      <c r="S78" s="2">
        <v>0</v>
      </c>
      <c r="T78" s="2">
        <v>0</v>
      </c>
      <c r="U78" s="2">
        <v>0</v>
      </c>
      <c r="V78" s="2">
        <v>0</v>
      </c>
      <c r="W78" s="2">
        <v>0</v>
      </c>
      <c r="X78" s="2">
        <v>0</v>
      </c>
    </row>
    <row r="79" spans="1:24" x14ac:dyDescent="0.2">
      <c r="A79" t="s">
        <v>165</v>
      </c>
      <c r="B79" t="s">
        <v>166</v>
      </c>
      <c r="C79" t="s">
        <v>29</v>
      </c>
      <c r="D79" s="3">
        <v>284.57777777777699</v>
      </c>
      <c r="E79" s="3">
        <v>10.4888888888888</v>
      </c>
      <c r="F79" s="3">
        <v>2.2114633765422398</v>
      </c>
      <c r="G79" s="3">
        <v>0.90444444444444405</v>
      </c>
      <c r="H79" s="3">
        <v>0.19069186318913001</v>
      </c>
      <c r="I79" s="3">
        <v>0</v>
      </c>
      <c r="J79" s="3">
        <v>17.1177777777777</v>
      </c>
      <c r="K79" s="3">
        <v>0</v>
      </c>
      <c r="L79" s="3">
        <v>0</v>
      </c>
      <c r="M79" s="3">
        <v>16.416555555555501</v>
      </c>
      <c r="N79" s="3">
        <v>4.4850538809932798</v>
      </c>
      <c r="O79" s="3">
        <v>6.4079025456817096</v>
      </c>
      <c r="P79" s="3">
        <v>11.886990473215601</v>
      </c>
      <c r="Q79" s="3">
        <v>13.3553646728096</v>
      </c>
      <c r="R79" s="3">
        <v>0</v>
      </c>
      <c r="S79" s="3">
        <v>0.88999999999999901</v>
      </c>
      <c r="T79" s="3">
        <v>0</v>
      </c>
      <c r="U79" s="3">
        <v>0</v>
      </c>
      <c r="V79" s="3">
        <v>0</v>
      </c>
      <c r="W79" s="3">
        <v>0</v>
      </c>
      <c r="X79" s="3">
        <v>0</v>
      </c>
    </row>
    <row r="80" spans="1:24" x14ac:dyDescent="0.2">
      <c r="A80" s="1" t="s">
        <v>167</v>
      </c>
      <c r="B80" s="1" t="s">
        <v>66</v>
      </c>
      <c r="C80" s="1" t="s">
        <v>67</v>
      </c>
      <c r="D80" s="2">
        <v>130.74444444444401</v>
      </c>
      <c r="E80" s="2">
        <v>5.6888888888888802</v>
      </c>
      <c r="F80" s="2">
        <v>2.6106909152715199</v>
      </c>
      <c r="G80" s="2">
        <v>1.68888888888888</v>
      </c>
      <c r="H80" s="2">
        <v>0.77504886547123297</v>
      </c>
      <c r="I80" s="2">
        <v>0.80833333333333302</v>
      </c>
      <c r="J80" s="2">
        <v>3.8333333333333299</v>
      </c>
      <c r="K80" s="2">
        <v>0</v>
      </c>
      <c r="L80" s="2">
        <v>0</v>
      </c>
      <c r="M80" s="2">
        <v>2.9694444444444401</v>
      </c>
      <c r="N80" s="2">
        <v>2.3952579247046799</v>
      </c>
      <c r="O80" s="2">
        <v>10.0246451941871</v>
      </c>
      <c r="P80" s="2">
        <v>10.9858077674853</v>
      </c>
      <c r="Q80" s="2">
        <v>7.6548822979519002</v>
      </c>
      <c r="R80" s="2">
        <v>0</v>
      </c>
      <c r="S80" s="2">
        <v>0</v>
      </c>
      <c r="T80" s="2">
        <v>0</v>
      </c>
      <c r="U80" s="2">
        <v>0</v>
      </c>
      <c r="V80" s="2">
        <v>0</v>
      </c>
      <c r="W80" s="2">
        <v>0</v>
      </c>
      <c r="X80" s="2">
        <v>0</v>
      </c>
    </row>
    <row r="81" spans="1:24" x14ac:dyDescent="0.2">
      <c r="A81" t="s">
        <v>168</v>
      </c>
      <c r="B81" t="s">
        <v>83</v>
      </c>
      <c r="C81" t="s">
        <v>50</v>
      </c>
      <c r="D81" s="3">
        <v>182.24444444444401</v>
      </c>
      <c r="E81" s="3">
        <v>5.6888888888888802</v>
      </c>
      <c r="F81" s="3">
        <v>1.8729423241068099</v>
      </c>
      <c r="G81" s="3">
        <v>1.1111111111111101</v>
      </c>
      <c r="H81" s="3">
        <v>0.36580904767711198</v>
      </c>
      <c r="I81" s="3">
        <v>1.19166666666666</v>
      </c>
      <c r="J81" s="3">
        <v>11.9333333333333</v>
      </c>
      <c r="K81" s="3">
        <v>0</v>
      </c>
      <c r="L81" s="3">
        <v>0</v>
      </c>
      <c r="M81" s="3">
        <v>5.3138888888888802</v>
      </c>
      <c r="N81" s="3">
        <v>5.5072552127789196</v>
      </c>
      <c r="O81" s="3">
        <v>8.41924155590781</v>
      </c>
      <c r="P81" s="3">
        <v>10.014022680160901</v>
      </c>
      <c r="Q81" s="3">
        <v>9.0574320204852992</v>
      </c>
      <c r="R81" s="3">
        <v>0</v>
      </c>
      <c r="S81" s="3">
        <v>0</v>
      </c>
      <c r="T81" s="3">
        <v>0</v>
      </c>
      <c r="U81" s="3">
        <v>0</v>
      </c>
      <c r="V81" s="3">
        <v>0</v>
      </c>
      <c r="W81" s="3">
        <v>0</v>
      </c>
      <c r="X81" s="3">
        <v>0</v>
      </c>
    </row>
    <row r="82" spans="1:24" x14ac:dyDescent="0.2">
      <c r="A82" s="1" t="s">
        <v>169</v>
      </c>
      <c r="B82" s="1" t="s">
        <v>159</v>
      </c>
      <c r="C82" s="1" t="s">
        <v>29</v>
      </c>
      <c r="D82" s="2">
        <v>23.3666666666666</v>
      </c>
      <c r="E82" s="2">
        <v>2.6055555555555499</v>
      </c>
      <c r="F82" s="2">
        <v>6.6904422253922897</v>
      </c>
      <c r="G82" s="2">
        <v>0</v>
      </c>
      <c r="H82" s="2">
        <v>0</v>
      </c>
      <c r="I82" s="2">
        <v>0</v>
      </c>
      <c r="J82" s="2">
        <v>2.5277777777777701</v>
      </c>
      <c r="K82" s="2">
        <v>0</v>
      </c>
      <c r="L82" s="2">
        <v>0</v>
      </c>
      <c r="M82" s="2">
        <v>2.4020000000000001</v>
      </c>
      <c r="N82" s="2">
        <v>11.5620542082738</v>
      </c>
      <c r="O82" s="2">
        <v>0</v>
      </c>
      <c r="P82" s="2">
        <v>12.471041369472101</v>
      </c>
      <c r="Q82" s="2">
        <v>11.7905848787446</v>
      </c>
      <c r="R82" s="2">
        <v>0</v>
      </c>
      <c r="S82" s="2">
        <v>4.8742222222222198</v>
      </c>
      <c r="T82" s="2">
        <v>0</v>
      </c>
      <c r="U82" s="2">
        <v>0</v>
      </c>
      <c r="V82" s="2">
        <v>28.1485555555555</v>
      </c>
      <c r="W82" s="2">
        <v>0</v>
      </c>
      <c r="X82" s="2">
        <v>4.8833333333333302</v>
      </c>
    </row>
    <row r="83" spans="1:24" x14ac:dyDescent="0.2">
      <c r="A83" t="s">
        <v>170</v>
      </c>
      <c r="B83" t="s">
        <v>60</v>
      </c>
      <c r="C83" t="s">
        <v>40</v>
      </c>
      <c r="D83" s="3">
        <v>225.68888888888799</v>
      </c>
      <c r="E83" s="3">
        <v>5.0055555555555502</v>
      </c>
      <c r="F83" s="3">
        <v>1.33074044899566</v>
      </c>
      <c r="G83" s="3">
        <v>7.4222222222222198</v>
      </c>
      <c r="H83" s="3">
        <v>1.9732178022843601</v>
      </c>
      <c r="I83" s="3">
        <v>2.0666666666666602</v>
      </c>
      <c r="J83" s="3">
        <v>15.941666666666601</v>
      </c>
      <c r="K83" s="3">
        <v>0</v>
      </c>
      <c r="L83" s="3">
        <v>0</v>
      </c>
      <c r="M83" s="3">
        <v>15.7416666666666</v>
      </c>
      <c r="N83" s="3">
        <v>4.2063804647499001</v>
      </c>
      <c r="O83" s="3">
        <v>10.148188263095699</v>
      </c>
      <c r="P83" s="3">
        <v>11.1200275699094</v>
      </c>
      <c r="Q83" s="3">
        <v>16.033133123276802</v>
      </c>
      <c r="R83" s="3">
        <v>0</v>
      </c>
      <c r="S83" s="3">
        <v>0</v>
      </c>
      <c r="T83" s="3">
        <v>0</v>
      </c>
      <c r="U83" s="3">
        <v>0</v>
      </c>
      <c r="V83" s="3">
        <v>0</v>
      </c>
      <c r="W83" s="3">
        <v>0</v>
      </c>
      <c r="X83" s="3">
        <v>3.0555555555555499E-2</v>
      </c>
    </row>
    <row r="84" spans="1:24" x14ac:dyDescent="0.2">
      <c r="A84" s="1" t="s">
        <v>171</v>
      </c>
      <c r="B84" s="1" t="s">
        <v>172</v>
      </c>
      <c r="C84" s="1" t="s">
        <v>29</v>
      </c>
      <c r="D84" s="2">
        <v>46.6111111111111</v>
      </c>
      <c r="E84" s="2">
        <v>4.12222222222222</v>
      </c>
      <c r="F84" s="2">
        <v>5.3063170441001102</v>
      </c>
      <c r="G84" s="2">
        <v>2.7222222222222201</v>
      </c>
      <c r="H84" s="2">
        <v>3.5041716328963002</v>
      </c>
      <c r="I84" s="2">
        <v>0.625</v>
      </c>
      <c r="J84" s="2">
        <v>4.9334444444444401</v>
      </c>
      <c r="K84" s="2">
        <v>0</v>
      </c>
      <c r="L84" s="2">
        <v>0</v>
      </c>
      <c r="M84" s="2">
        <v>4.75</v>
      </c>
      <c r="N84" s="2">
        <v>12.192085816448101</v>
      </c>
      <c r="O84" s="2">
        <v>11.927771156138199</v>
      </c>
      <c r="P84" s="2">
        <v>37.999523241954698</v>
      </c>
      <c r="Q84" s="2">
        <v>29.987556615017802</v>
      </c>
      <c r="R84" s="2">
        <v>0</v>
      </c>
      <c r="S84" s="2">
        <v>4.2</v>
      </c>
      <c r="T84" s="2">
        <v>0</v>
      </c>
      <c r="U84" s="2">
        <v>0</v>
      </c>
      <c r="V84" s="2">
        <v>0</v>
      </c>
      <c r="W84" s="2">
        <v>0</v>
      </c>
      <c r="X84" s="2">
        <v>0</v>
      </c>
    </row>
    <row r="85" spans="1:24" x14ac:dyDescent="0.2">
      <c r="A85" t="s">
        <v>173</v>
      </c>
      <c r="B85" t="s">
        <v>174</v>
      </c>
      <c r="C85" t="s">
        <v>55</v>
      </c>
      <c r="D85" s="3">
        <v>185.45555555555501</v>
      </c>
      <c r="E85" s="3">
        <v>5.4222222222222198</v>
      </c>
      <c r="F85" s="3">
        <v>1.7542388113354499</v>
      </c>
      <c r="G85" s="3">
        <v>0</v>
      </c>
      <c r="H85" s="3">
        <v>0</v>
      </c>
      <c r="I85" s="3">
        <v>0</v>
      </c>
      <c r="J85" s="3">
        <v>17.744444444444401</v>
      </c>
      <c r="K85" s="3">
        <v>0</v>
      </c>
      <c r="L85" s="3">
        <v>0</v>
      </c>
      <c r="M85" s="3">
        <v>3.2111111111111099</v>
      </c>
      <c r="N85" s="3">
        <v>4.3011203642681597</v>
      </c>
      <c r="O85" s="3">
        <v>9.2582829069558397</v>
      </c>
      <c r="P85" s="3">
        <v>13.750823797256</v>
      </c>
      <c r="Q85" s="3">
        <v>14.0500868731651</v>
      </c>
      <c r="R85" s="3">
        <v>0</v>
      </c>
      <c r="S85" s="3">
        <v>1.25555555555555</v>
      </c>
      <c r="T85" s="3">
        <v>0</v>
      </c>
      <c r="U85" s="3">
        <v>0</v>
      </c>
      <c r="V85" s="3">
        <v>0.8</v>
      </c>
      <c r="W85" s="3">
        <v>0</v>
      </c>
      <c r="X85" s="3">
        <v>0</v>
      </c>
    </row>
    <row r="86" spans="1:24" x14ac:dyDescent="0.2">
      <c r="A86" s="1" t="s">
        <v>175</v>
      </c>
      <c r="B86" s="1" t="s">
        <v>103</v>
      </c>
      <c r="C86" s="1" t="s">
        <v>55</v>
      </c>
      <c r="D86" s="2">
        <v>71.2</v>
      </c>
      <c r="E86" s="2">
        <v>4.75</v>
      </c>
      <c r="F86" s="2">
        <v>4.0028089887640403</v>
      </c>
      <c r="G86" s="2">
        <v>0.133333333333333</v>
      </c>
      <c r="H86" s="2">
        <v>0.112359550561797</v>
      </c>
      <c r="I86" s="2">
        <v>0</v>
      </c>
      <c r="J86" s="2">
        <v>4</v>
      </c>
      <c r="K86" s="2">
        <v>0</v>
      </c>
      <c r="L86" s="2">
        <v>0</v>
      </c>
      <c r="M86" s="2">
        <v>4.94933333333333</v>
      </c>
      <c r="N86" s="2">
        <v>3.9208801498127301</v>
      </c>
      <c r="O86" s="2">
        <v>16.923501872659099</v>
      </c>
      <c r="P86" s="2">
        <v>11.929026217228399</v>
      </c>
      <c r="Q86" s="2">
        <v>7.8186329588014898</v>
      </c>
      <c r="R86" s="2">
        <v>0</v>
      </c>
      <c r="S86" s="2">
        <v>0</v>
      </c>
      <c r="T86" s="2">
        <v>0</v>
      </c>
      <c r="U86" s="2">
        <v>0</v>
      </c>
      <c r="V86" s="2">
        <v>0</v>
      </c>
      <c r="W86" s="2">
        <v>0</v>
      </c>
      <c r="X86" s="2">
        <v>0</v>
      </c>
    </row>
    <row r="87" spans="1:24" x14ac:dyDescent="0.2">
      <c r="A87" t="s">
        <v>176</v>
      </c>
      <c r="B87" t="s">
        <v>33</v>
      </c>
      <c r="C87" t="s">
        <v>29</v>
      </c>
      <c r="D87" s="3">
        <v>162.266666666666</v>
      </c>
      <c r="E87" s="3">
        <v>5.0277777777777697</v>
      </c>
      <c r="F87" s="3">
        <v>1.85907970419063</v>
      </c>
      <c r="G87" s="3">
        <v>2.0916666666666601</v>
      </c>
      <c r="H87" s="3">
        <v>0.77341824157764905</v>
      </c>
      <c r="I87" s="3">
        <v>0</v>
      </c>
      <c r="J87" s="3">
        <v>8.5250000000000004</v>
      </c>
      <c r="K87" s="3">
        <v>0</v>
      </c>
      <c r="L87" s="3">
        <v>0</v>
      </c>
      <c r="M87" s="3">
        <v>5.6555555555555497</v>
      </c>
      <c r="N87" s="3">
        <v>3.8907148726376302</v>
      </c>
      <c r="O87" s="3">
        <v>4.4566557107641698</v>
      </c>
      <c r="P87" s="3">
        <v>12.4239934264585</v>
      </c>
      <c r="Q87" s="3">
        <v>15.167419884963</v>
      </c>
      <c r="R87" s="3">
        <v>0</v>
      </c>
      <c r="S87" s="3">
        <v>3.95</v>
      </c>
      <c r="T87" s="3">
        <v>0</v>
      </c>
      <c r="U87" s="3">
        <v>0</v>
      </c>
      <c r="V87" s="3">
        <v>0</v>
      </c>
      <c r="W87" s="3">
        <v>0</v>
      </c>
      <c r="X87" s="3">
        <v>0</v>
      </c>
    </row>
    <row r="88" spans="1:24" x14ac:dyDescent="0.2">
      <c r="A88" s="1" t="s">
        <v>177</v>
      </c>
      <c r="B88" s="1" t="s">
        <v>178</v>
      </c>
      <c r="C88" s="1" t="s">
        <v>29</v>
      </c>
      <c r="D88" s="2">
        <v>115.433333333333</v>
      </c>
      <c r="E88" s="2">
        <v>11.1111111111111</v>
      </c>
      <c r="F88" s="2">
        <v>5.7753393011839398</v>
      </c>
      <c r="G88" s="2">
        <v>0.43333333333333302</v>
      </c>
      <c r="H88" s="2">
        <v>0.22523823274617299</v>
      </c>
      <c r="I88" s="2">
        <v>0.90277777777777701</v>
      </c>
      <c r="J88" s="2">
        <v>4.7249999999999996</v>
      </c>
      <c r="K88" s="2">
        <v>0</v>
      </c>
      <c r="L88" s="2">
        <v>2.74444444444444</v>
      </c>
      <c r="M88" s="2">
        <v>5.1666666666666599</v>
      </c>
      <c r="N88" s="2">
        <v>5.4807969968235604</v>
      </c>
      <c r="O88" s="2">
        <v>14.009529309846901</v>
      </c>
      <c r="P88" s="2">
        <v>17.4844932139763</v>
      </c>
      <c r="Q88" s="2">
        <v>14.8498411781692</v>
      </c>
      <c r="R88" s="2">
        <v>0</v>
      </c>
      <c r="S88" s="2">
        <v>0</v>
      </c>
      <c r="T88" s="2">
        <v>0</v>
      </c>
      <c r="U88" s="2">
        <v>0</v>
      </c>
      <c r="V88" s="2">
        <v>3.5533333333333301</v>
      </c>
      <c r="W88" s="2">
        <v>0</v>
      </c>
      <c r="X88" s="2">
        <v>2.67777777777777</v>
      </c>
    </row>
    <row r="89" spans="1:24" x14ac:dyDescent="0.2">
      <c r="A89" t="s">
        <v>179</v>
      </c>
      <c r="B89" t="s">
        <v>172</v>
      </c>
      <c r="C89" t="s">
        <v>29</v>
      </c>
      <c r="D89" s="3">
        <v>230.86666666666599</v>
      </c>
      <c r="E89" s="3">
        <v>4.9777777777777699</v>
      </c>
      <c r="F89" s="3">
        <v>1.2936760034652</v>
      </c>
      <c r="G89" s="3">
        <v>1.06666666666666</v>
      </c>
      <c r="H89" s="3">
        <v>0.277216286456829</v>
      </c>
      <c r="I89" s="3">
        <v>0.96477777777777696</v>
      </c>
      <c r="J89" s="3">
        <v>9.7750000000000004</v>
      </c>
      <c r="K89" s="3">
        <v>0</v>
      </c>
      <c r="L89" s="3">
        <v>0</v>
      </c>
      <c r="M89" s="3">
        <v>5.3388888888888797</v>
      </c>
      <c r="N89" s="3">
        <v>3.8579266531908698</v>
      </c>
      <c r="O89" s="3">
        <v>7.7526710944267903</v>
      </c>
      <c r="P89" s="3">
        <v>8.3691885648281801</v>
      </c>
      <c r="Q89" s="3">
        <v>15.3703436326884</v>
      </c>
      <c r="R89" s="3">
        <v>0</v>
      </c>
      <c r="S89" s="3">
        <v>0</v>
      </c>
      <c r="T89" s="3">
        <v>0</v>
      </c>
      <c r="U89" s="3">
        <v>0</v>
      </c>
      <c r="V89" s="3">
        <v>0</v>
      </c>
      <c r="W89" s="3">
        <v>0</v>
      </c>
      <c r="X89" s="3">
        <v>0</v>
      </c>
    </row>
    <row r="90" spans="1:24" x14ac:dyDescent="0.2">
      <c r="A90" s="1" t="s">
        <v>180</v>
      </c>
      <c r="B90" s="1" t="s">
        <v>47</v>
      </c>
      <c r="C90" s="1" t="s">
        <v>29</v>
      </c>
      <c r="D90" s="2">
        <v>84.733333333333306</v>
      </c>
      <c r="E90" s="2">
        <v>5</v>
      </c>
      <c r="F90" s="2">
        <v>3.5405192761605</v>
      </c>
      <c r="G90" s="2">
        <v>1.37222222222222</v>
      </c>
      <c r="H90" s="2">
        <v>0.97167584579071498</v>
      </c>
      <c r="I90" s="2">
        <v>0.48166666666666602</v>
      </c>
      <c r="J90" s="2">
        <v>0.49722222222222201</v>
      </c>
      <c r="K90" s="2">
        <v>0</v>
      </c>
      <c r="L90" s="2">
        <v>0</v>
      </c>
      <c r="M90" s="2">
        <v>2.1831111111111099</v>
      </c>
      <c r="N90" s="2">
        <v>3.5405192761605</v>
      </c>
      <c r="O90" s="2">
        <v>6.8322580645161297</v>
      </c>
      <c r="P90" s="2">
        <v>14.253973249409899</v>
      </c>
      <c r="Q90" s="2">
        <v>17.216522423288701</v>
      </c>
      <c r="R90" s="2">
        <v>0</v>
      </c>
      <c r="S90" s="2">
        <v>4.8696666666666601</v>
      </c>
      <c r="T90" s="2">
        <v>0</v>
      </c>
      <c r="U90" s="2">
        <v>0</v>
      </c>
      <c r="V90" s="2">
        <v>0</v>
      </c>
      <c r="W90" s="2">
        <v>0</v>
      </c>
      <c r="X90" s="2">
        <v>0</v>
      </c>
    </row>
    <row r="91" spans="1:24" x14ac:dyDescent="0.2">
      <c r="A91" t="s">
        <v>181</v>
      </c>
      <c r="B91" t="s">
        <v>89</v>
      </c>
      <c r="C91" t="s">
        <v>64</v>
      </c>
      <c r="D91" s="3">
        <v>37.066666666666599</v>
      </c>
      <c r="E91" s="3">
        <v>4.6666666666666599</v>
      </c>
      <c r="F91" s="3">
        <v>7.5539568345323698</v>
      </c>
      <c r="G91" s="3">
        <v>1.1555555555555499</v>
      </c>
      <c r="H91" s="3">
        <v>1.8705035971223001</v>
      </c>
      <c r="I91" s="3">
        <v>0.24977777777777699</v>
      </c>
      <c r="J91" s="3">
        <v>3.0833333333333299</v>
      </c>
      <c r="K91" s="3">
        <v>0</v>
      </c>
      <c r="L91" s="3">
        <v>0.26944444444444399</v>
      </c>
      <c r="M91" s="3">
        <v>0.92777777777777704</v>
      </c>
      <c r="N91" s="3">
        <v>7.1537769784172598</v>
      </c>
      <c r="O91" s="3">
        <v>24.473920863309299</v>
      </c>
      <c r="P91" s="3">
        <v>27.1012589928057</v>
      </c>
      <c r="Q91" s="3">
        <v>19.9595323741007</v>
      </c>
      <c r="R91" s="3">
        <v>0.16944444444444401</v>
      </c>
      <c r="S91" s="3">
        <v>0</v>
      </c>
      <c r="T91" s="3">
        <v>0</v>
      </c>
      <c r="U91" s="3">
        <v>0</v>
      </c>
      <c r="V91" s="3">
        <v>0</v>
      </c>
      <c r="W91" s="3">
        <v>0</v>
      </c>
      <c r="X91" s="3">
        <v>0</v>
      </c>
    </row>
    <row r="92" spans="1:24" x14ac:dyDescent="0.2">
      <c r="A92" s="1" t="s">
        <v>182</v>
      </c>
      <c r="B92" s="1" t="s">
        <v>28</v>
      </c>
      <c r="C92" s="1" t="s">
        <v>29</v>
      </c>
      <c r="D92" s="2">
        <v>187.23333333333301</v>
      </c>
      <c r="E92" s="2">
        <v>4.7111111111111104</v>
      </c>
      <c r="F92" s="2">
        <v>1.50970268826775</v>
      </c>
      <c r="G92" s="2">
        <v>0.266666666666666</v>
      </c>
      <c r="H92" s="2">
        <v>8.5454869147231605E-2</v>
      </c>
      <c r="I92" s="2">
        <v>0</v>
      </c>
      <c r="J92" s="2">
        <v>0</v>
      </c>
      <c r="K92" s="2">
        <v>0</v>
      </c>
      <c r="L92" s="2">
        <v>0.28888888888888797</v>
      </c>
      <c r="M92" s="2">
        <v>3.35866666666666</v>
      </c>
      <c r="N92" s="2">
        <v>3.87794196190137</v>
      </c>
      <c r="O92" s="2">
        <v>8.3881075307103394</v>
      </c>
      <c r="P92" s="2">
        <v>10.6066583585543</v>
      </c>
      <c r="Q92" s="2">
        <v>11.885953355883901</v>
      </c>
      <c r="R92" s="2">
        <v>0</v>
      </c>
      <c r="S92" s="2">
        <v>0</v>
      </c>
      <c r="T92" s="2">
        <v>0</v>
      </c>
      <c r="U92" s="2">
        <v>0</v>
      </c>
      <c r="V92" s="2">
        <v>0</v>
      </c>
      <c r="W92" s="2">
        <v>0</v>
      </c>
      <c r="X92" s="2">
        <v>6.2666666666666604</v>
      </c>
    </row>
    <row r="93" spans="1:24" x14ac:dyDescent="0.2">
      <c r="A93" s="6" t="s">
        <v>183</v>
      </c>
      <c r="B93" s="6" t="s">
        <v>43</v>
      </c>
      <c r="C93" s="6" t="s">
        <v>29</v>
      </c>
      <c r="D93" s="7">
        <v>120.14444444444401</v>
      </c>
      <c r="E93" s="7">
        <v>4.5688888888888801</v>
      </c>
      <c r="F93" s="7">
        <v>2.2816979561638702</v>
      </c>
      <c r="G93" s="7">
        <v>0</v>
      </c>
      <c r="H93" s="7">
        <v>0</v>
      </c>
      <c r="I93" s="7">
        <v>0</v>
      </c>
      <c r="J93" s="7">
        <v>1.48888888888888</v>
      </c>
      <c r="K93" s="7">
        <v>0</v>
      </c>
      <c r="L93" s="7">
        <v>0</v>
      </c>
      <c r="M93" s="7">
        <v>2.1155555555555501</v>
      </c>
      <c r="N93" s="7">
        <v>3.2294460371774698</v>
      </c>
      <c r="O93" s="7">
        <v>7.0620549338758902</v>
      </c>
      <c r="P93" s="7">
        <v>13.9981503745491</v>
      </c>
      <c r="Q93" s="7">
        <v>14.795523906408899</v>
      </c>
      <c r="R93" s="7">
        <v>0</v>
      </c>
      <c r="S93" s="7">
        <v>0</v>
      </c>
      <c r="T93" s="7">
        <v>0</v>
      </c>
      <c r="U93" s="7">
        <v>0</v>
      </c>
      <c r="V93" s="7">
        <v>0</v>
      </c>
      <c r="W93" s="7">
        <v>0</v>
      </c>
      <c r="X93" s="7">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4657-A676-C94C-936E-34E34CE0FF3C}">
  <dimension ref="B2:AS62"/>
  <sheetViews>
    <sheetView zoomScale="85" zoomScaleNormal="85" workbookViewId="0">
      <pane ySplit="2" topLeftCell="A3" activePane="bottomLeft" state="frozen"/>
      <selection activeCell="C40" sqref="C40"/>
      <selection pane="bottomLeft"/>
    </sheetView>
  </sheetViews>
  <sheetFormatPr baseColWidth="10" defaultColWidth="8.83203125" defaultRowHeight="16" x14ac:dyDescent="0.2"/>
  <cols>
    <col min="1" max="1" width="3" style="9" customWidth="1"/>
    <col min="2" max="2" width="45.1640625" style="9" customWidth="1"/>
    <col min="3" max="4" width="11.5" style="9" customWidth="1"/>
    <col min="5" max="5" width="4.5" style="9" customWidth="1"/>
    <col min="6" max="20" width="9.5" style="9" customWidth="1"/>
    <col min="21" max="21" width="4.5" style="9" customWidth="1"/>
    <col min="22" max="22" width="9.5" style="9" customWidth="1"/>
    <col min="23" max="35" width="9.5" style="20" customWidth="1"/>
    <col min="36" max="36" width="9.5" style="9" customWidth="1"/>
    <col min="37" max="37" width="5.5" style="9" customWidth="1"/>
    <col min="38" max="38" width="44.5" style="9" customWidth="1"/>
    <col min="39" max="39" width="12.5" style="9" customWidth="1"/>
    <col min="40" max="40" width="14.5" style="9" bestFit="1" customWidth="1"/>
    <col min="41" max="41" width="19.83203125" style="9" customWidth="1"/>
    <col min="42" max="42" width="37.1640625" style="9" customWidth="1"/>
    <col min="43" max="43" width="11.5" style="9" customWidth="1"/>
    <col min="44" max="48" width="8.83203125" style="9"/>
    <col min="49" max="49" width="22.83203125" style="9" customWidth="1"/>
    <col min="50" max="50" width="16.5" style="9" customWidth="1"/>
    <col min="51" max="51" width="13.5" style="9" customWidth="1"/>
    <col min="52" max="16384" width="8.83203125" style="9"/>
  </cols>
  <sheetData>
    <row r="2" spans="2:45" s="9" customFormat="1" ht="85.5" customHeight="1" thickBot="1" x14ac:dyDescent="0.25">
      <c r="B2" s="58" t="s">
        <v>326</v>
      </c>
      <c r="C2" s="58" t="s">
        <v>325</v>
      </c>
      <c r="D2" s="58" t="s">
        <v>324</v>
      </c>
      <c r="E2" s="57"/>
      <c r="F2" s="56" t="s">
        <v>323</v>
      </c>
      <c r="G2" s="56" t="s">
        <v>288</v>
      </c>
      <c r="H2" s="56" t="s">
        <v>321</v>
      </c>
      <c r="I2" s="56" t="s">
        <v>309</v>
      </c>
      <c r="J2" s="55" t="s">
        <v>320</v>
      </c>
      <c r="K2" s="56" t="s">
        <v>319</v>
      </c>
      <c r="L2" s="55" t="s">
        <v>318</v>
      </c>
      <c r="M2" s="56" t="s">
        <v>317</v>
      </c>
      <c r="N2" s="55" t="s">
        <v>316</v>
      </c>
      <c r="O2" s="56" t="s">
        <v>301</v>
      </c>
      <c r="P2" s="55" t="s">
        <v>315</v>
      </c>
      <c r="Q2" s="56" t="s">
        <v>298</v>
      </c>
      <c r="R2" s="55" t="s">
        <v>314</v>
      </c>
      <c r="S2" s="56" t="s">
        <v>296</v>
      </c>
      <c r="T2" s="55" t="s">
        <v>313</v>
      </c>
      <c r="U2" s="56"/>
      <c r="V2" s="56" t="s">
        <v>322</v>
      </c>
      <c r="W2" s="56" t="s">
        <v>288</v>
      </c>
      <c r="X2" s="56" t="s">
        <v>321</v>
      </c>
      <c r="Y2" s="56" t="s">
        <v>309</v>
      </c>
      <c r="Z2" s="55" t="s">
        <v>320</v>
      </c>
      <c r="AA2" s="56" t="s">
        <v>319</v>
      </c>
      <c r="AB2" s="55" t="s">
        <v>318</v>
      </c>
      <c r="AC2" s="56" t="s">
        <v>317</v>
      </c>
      <c r="AD2" s="55" t="s">
        <v>316</v>
      </c>
      <c r="AE2" s="56" t="s">
        <v>301</v>
      </c>
      <c r="AF2" s="55" t="s">
        <v>315</v>
      </c>
      <c r="AG2" s="56" t="s">
        <v>298</v>
      </c>
      <c r="AH2" s="55" t="s">
        <v>314</v>
      </c>
      <c r="AI2" s="56" t="s">
        <v>296</v>
      </c>
      <c r="AJ2" s="55" t="s">
        <v>313</v>
      </c>
      <c r="AL2" s="9" t="s">
        <v>312</v>
      </c>
      <c r="AM2" s="9" t="s">
        <v>311</v>
      </c>
      <c r="AN2" s="54" t="s">
        <v>199</v>
      </c>
      <c r="AO2" s="54" t="s">
        <v>310</v>
      </c>
    </row>
    <row r="3" spans="2:45" s="9" customFormat="1" ht="15" customHeight="1" x14ac:dyDescent="0.2">
      <c r="B3" s="52" t="s">
        <v>309</v>
      </c>
      <c r="C3" s="49">
        <f>SUM([1]!NonNurse[Hrs_Admin])/SUMIFS([1]!NonNurse[MDScensus], [1]!NonNurse[Hrs_Admin_fn], "&lt;&gt;1")*60</f>
        <v>3.8158058312161778</v>
      </c>
      <c r="D3" s="53">
        <f>MEDIAN([1]!NonNurse[MPRD: Admin])</f>
        <v>4.0474308300395201</v>
      </c>
      <c r="E3" s="35"/>
      <c r="F3" s="9">
        <v>1</v>
      </c>
      <c r="G3" s="23">
        <f>SUMIF([1]!NonNurse[CMS Region Number], CMSRegion101718[[#This Row],[CMS Region Number]], [1]!NonNurse[MDScensus])</f>
        <v>72492.855555555303</v>
      </c>
      <c r="H3" s="23">
        <f>COUNTIF([1]!NonNurse[CMS Region Number], CMSRegion101718[[#This Row],[CMS Region Number]])</f>
        <v>783</v>
      </c>
      <c r="I3" s="22">
        <f>SUMIF([1]!NonNurse[CMS Region Number], CMSRegion101718[[#This Row],[CMS Region Number]], [1]!NonNurse[Hrs_Admin])/SUMIF([1]!NonNurse[CMS Region Number], CMSRegion101718[[#This Row],[CMS Region Number]], [1]!NonNurse[MDScensus])*60</f>
        <v>3.4908170107797698</v>
      </c>
      <c r="J3" s="23">
        <f>RANK(CMSRegion101718[[#This Row],[Total Admin MPRD]],CMSRegion101718[Total Admin MPRD])</f>
        <v>7</v>
      </c>
      <c r="K3" s="22">
        <f>SUMIF([1]!NonNurse[CMS Region Number], CMSRegion101718[[#This Row],[CMS Region Number]], [1]!NonNurse[Hrs_MedDir])/SUMIF([1]!NonNurse[CMS Region Number], CMSRegion101718[[#This Row],[CMS Region Number]], [1]!NonNurse[MDScensus])*60</f>
        <v>0.31625728021933874</v>
      </c>
      <c r="L3" s="23">
        <f>RANK(CMSRegion101718[[#This Row],[Total MedDir MPRD]],CMSRegion101718[Total MedDir MPRD])</f>
        <v>4</v>
      </c>
      <c r="M3"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5.5222191244286671</v>
      </c>
      <c r="N3" s="23">
        <f>RANK(CMSRegion101718[[#This Row],[Total Social Work MPRD]],CMSRegion101718[Total Social Work MPRD])</f>
        <v>5</v>
      </c>
      <c r="O3"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8.2190867237951721</v>
      </c>
      <c r="P3" s="23">
        <f>RANK(CMSRegion101718[[#This Row],[Total OT MPRD]],CMSRegion101718[Total OT MPRD])</f>
        <v>7</v>
      </c>
      <c r="Q3"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8.4694653281541896</v>
      </c>
      <c r="R3" s="23">
        <f>RANK(CMSRegion101718[[#This Row],[Total PT MPRD]],CMSRegion101718[Total PT MPRD])</f>
        <v>9</v>
      </c>
      <c r="S3"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10.838870681049507</v>
      </c>
      <c r="T3" s="23">
        <f>RANK(CMSRegion101718[[#This Row],[Total Activities MPRD]], CMSRegion101718[Total Activities MPRD])</f>
        <v>4</v>
      </c>
      <c r="V3" s="21" t="s">
        <v>308</v>
      </c>
      <c r="W3" s="23">
        <f>SUMIF([1]!NonNurse[STATE], State112019[[#This Row],[State]], [1]!NonNurse[MDScensus])</f>
        <v>720.65555555555488</v>
      </c>
      <c r="X3" s="23">
        <f>COUNTIF([1]!NonNurse[STATE], State112019[[#This Row],[State]])</f>
        <v>18</v>
      </c>
      <c r="Y3" s="22">
        <f>SUMIF([1]!NonNurse[STATE], State112019[[#This Row],[State]], [1]!NonNurse[Hrs_Admin])/SUMIF([1]!NonNurse[STATE], State112019[[#This Row],[State]], [1]!NonNurse[MDScensus])*60</f>
        <v>5.4689094805655287</v>
      </c>
      <c r="Z3" s="23">
        <f>RANK(State112019[[#This Row],[Total Admin MPRD]],State112019[Total Admin MPRD])</f>
        <v>9</v>
      </c>
      <c r="AA3" s="22">
        <f>SUMIF([1]!NonNurse[STATE], State112019[[#This Row],[State]], [1]!NonNurse[Hrs_MedDir])/SUMIF([1]!NonNurse[STATE], State112019[[#This Row],[State]], [1]!NonNurse[MDScensus])*60</f>
        <v>1.0742071262276611</v>
      </c>
      <c r="AB3" s="23">
        <f>RANK(State112019[[#This Row],[Total MedDir MPRD]],State112019[Total MedDir MPRD])</f>
        <v>2</v>
      </c>
      <c r="AC3" s="22">
        <f>(SUMIF([1]!NonNurse[STATE], State112019[[#This Row],[State]], [1]!NonNurse[Hrs_QualSocWrk]) + SUMIF([1]!NonNurse[STATE], State112019[[#This Row],[State]], [1]!NonNurse[Hrs_OthSocWrk])) / SUMIF([1]!NonNurse[STATE], State112019[[#This Row],[State]], [1]!NonNurse[MDScensus]) * 60</f>
        <v>4.5492838310797223</v>
      </c>
      <c r="AD3" s="23">
        <f>RANK(State112019[[#This Row],[Total Social Work MPRD]],State112019[Total Social Work MPRD])</f>
        <v>42</v>
      </c>
      <c r="AE3" s="22">
        <f>(SUMIF([1]!NonNurse[STATE], State112019[[#This Row],[State]], [1]!NonNurse[Hrs_OT]) + SUMIF([1]!NonNurse[STATE], State112019[[#This Row],[State]], [1]!NonNurse[Hrs_OTasst]) + SUMIF([1]!NonNurse[STATE], State112019[[#This Row],[State]], [1]!NonNurse[Hrs_OTaide])) / SUMIF([1]!NonNurse[STATE], State112019[[#This Row],[State]], [1]!NonNurse[MDScensus]) * 60</f>
        <v>7.1370480580952433</v>
      </c>
      <c r="AF3" s="23">
        <f>RANK(State112019[[#This Row],[Total OT MPRD]],State112019[Total OT MPRD])</f>
        <v>35</v>
      </c>
      <c r="AG3" s="22">
        <f>(SUMIF([1]!NonNurse[STATE], State112019[[#This Row],[State]], [1]!NonNurse[Hrs_PT]) + SUMIF([1]!NonNurse[STATE], State112019[[#This Row],[State]], [1]!NonNurse[Hrs_PTasst]) + SUMIF([1]!NonNurse[STATE], State112019[[#This Row],[State]], [1]!NonNurse[Hrs_PTaide])) / SUMIF([1]!NonNurse[STATE], State112019[[#This Row],[State]], [1]!NonNurse[MDScensus]) * 60</f>
        <v>10.875616336977137</v>
      </c>
      <c r="AH3" s="23">
        <f>RANK(State112019[[#This Row],[Total PT MPRD]],State112019[Total PT MPRD])</f>
        <v>12</v>
      </c>
      <c r="AI3" s="22">
        <f>(SUMIF([1]!NonNurse[STATE], State112019[[#This Row],[State]], [1]!NonNurse[Hrs_QualActvProf]) + SUMIF([1]!NonNurse[STATE], State112019[[#This Row],[State]], [1]!NonNurse[Hrs_OthActv])) / SUMIF([1]!NonNurse[STATE], State112019[[#This Row],[State]], [1]!NonNurse[MDScensus]) * 60</f>
        <v>19.642189981344103</v>
      </c>
      <c r="AJ3" s="20">
        <f>RANK(State112019[[#This Row],[Total Activities MPRD]], State112019[Total Activities MPRD])</f>
        <v>1</v>
      </c>
      <c r="AL3" s="23" t="s">
        <v>307</v>
      </c>
      <c r="AM3" s="23">
        <f>SUM([1]!NonNurse[Hrs_Admin])</f>
        <v>78354.987888889067</v>
      </c>
      <c r="AN3" s="22">
        <f>Category122120[[#This Row],[US Total Hours]]/SUMIFS([1]!NonNurse[MDScensus], [1]!NonNurse[Hrs_Admin_fn], "&lt;&gt;1")*60</f>
        <v>3.8158058312161778</v>
      </c>
      <c r="AO3" s="23">
        <f>COUNTIF([1]!NonNurse[Hrs_Admin], 0)</f>
        <v>425</v>
      </c>
    </row>
    <row r="4" spans="2:45" s="9" customFormat="1" ht="15" customHeight="1" x14ac:dyDescent="0.2">
      <c r="B4" s="52" t="s">
        <v>306</v>
      </c>
      <c r="C4" s="49">
        <f>SUM([1]!NonNurse[Hrs_MedDir])/SUM([1]!NonNurse[MDScensus])*60</f>
        <v>0.25583479250278834</v>
      </c>
      <c r="D4" s="49">
        <f>MEDIAN([1]!NonNurse[MPRD: MedDir])</f>
        <v>0.116478443656747</v>
      </c>
      <c r="E4" s="35"/>
      <c r="F4" s="9">
        <v>2</v>
      </c>
      <c r="G4" s="23">
        <f>SUMIF([1]!NonNurse[CMS Region Number], CMSRegion101718[[#This Row],[CMS Region Number]], [1]!NonNurse[MDScensus])</f>
        <v>140610.36666666646</v>
      </c>
      <c r="H4" s="23">
        <f>COUNTIF([1]!NonNurse[CMS Region Number], CMSRegion101718[[#This Row],[CMS Region Number]])</f>
        <v>946</v>
      </c>
      <c r="I4" s="22">
        <f>SUMIF([1]!NonNurse[CMS Region Number], CMSRegion101718[[#This Row],[CMS Region Number]], [1]!NonNurse[Hrs_Admin])/SUMIF([1]!NonNurse[CMS Region Number], CMSRegion101718[[#This Row],[CMS Region Number]], [1]!NonNurse[MDScensus])*60</f>
        <v>2.2518584807995445</v>
      </c>
      <c r="J4" s="23">
        <f>RANK(CMSRegion101718[[#This Row],[Total Admin MPRD]],CMSRegion101718[Total Admin MPRD])</f>
        <v>10</v>
      </c>
      <c r="K4" s="22">
        <f>SUMIF([1]!NonNurse[CMS Region Number], CMSRegion101718[[#This Row],[CMS Region Number]], [1]!NonNurse[Hrs_MedDir])/SUMIF([1]!NonNurse[CMS Region Number], CMSRegion101718[[#This Row],[CMS Region Number]], [1]!NonNurse[MDScensus])*60</f>
        <v>0.32112132083196293</v>
      </c>
      <c r="L4" s="23">
        <f>RANK(CMSRegion101718[[#This Row],[Total MedDir MPRD]],CMSRegion101718[Total MedDir MPRD])</f>
        <v>3</v>
      </c>
      <c r="M4"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4.8032067336903301</v>
      </c>
      <c r="N4" s="23">
        <f>RANK(CMSRegion101718[[#This Row],[Total Social Work MPRD]],CMSRegion101718[Total Social Work MPRD])</f>
        <v>9</v>
      </c>
      <c r="O4"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9.2419565555977155</v>
      </c>
      <c r="P4" s="23">
        <f>RANK(CMSRegion101718[[#This Row],[Total OT MPRD]],CMSRegion101718[Total OT MPRD])</f>
        <v>2</v>
      </c>
      <c r="Q4"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10.480956287955056</v>
      </c>
      <c r="R4" s="23">
        <f>RANK(CMSRegion101718[[#This Row],[Total PT MPRD]],CMSRegion101718[Total PT MPRD])</f>
        <v>3</v>
      </c>
      <c r="S4"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10.172676220411422</v>
      </c>
      <c r="T4" s="23">
        <f>RANK(CMSRegion101718[[#This Row],[Total Activities MPRD]], CMSRegion101718[Total Activities MPRD])</f>
        <v>6</v>
      </c>
      <c r="V4" s="21" t="s">
        <v>305</v>
      </c>
      <c r="W4" s="23">
        <f>SUMIF([1]!NonNurse[STATE], State112019[[#This Row],[State]], [1]!NonNurse[MDScensus])</f>
        <v>21571.933333333291</v>
      </c>
      <c r="X4" s="23">
        <f>COUNTIF([1]!NonNurse[STATE], State112019[[#This Row],[State]])</f>
        <v>223</v>
      </c>
      <c r="Y4" s="22">
        <f>SUMIF([1]!NonNurse[STATE], State112019[[#This Row],[State]], [1]!NonNurse[Hrs_Admin])/SUMIF([1]!NonNurse[STATE], State112019[[#This Row],[State]], [1]!NonNurse[MDScensus])*60</f>
        <v>3.5630093423862488</v>
      </c>
      <c r="Z4" s="23">
        <f>RANK(State112019[[#This Row],[Total Admin MPRD]],State112019[Total Admin MPRD])</f>
        <v>37</v>
      </c>
      <c r="AA4" s="22">
        <f>SUMIF([1]!NonNurse[STATE], State112019[[#This Row],[State]], [1]!NonNurse[Hrs_MedDir])/SUMIF([1]!NonNurse[STATE], State112019[[#This Row],[State]], [1]!NonNurse[MDScensus])*60</f>
        <v>0.28039675009812143</v>
      </c>
      <c r="AB4" s="23">
        <f>RANK(State112019[[#This Row],[Total MedDir MPRD]],State112019[Total MedDir MPRD])</f>
        <v>21</v>
      </c>
      <c r="AC4" s="22">
        <f>(SUMIF([1]!NonNurse[STATE], State112019[[#This Row],[State]], [1]!NonNurse[Hrs_QualSocWrk]) + SUMIF([1]!NonNurse[STATE], State112019[[#This Row],[State]], [1]!NonNurse[Hrs_OthSocWrk])) / SUMIF([1]!NonNurse[STATE], State112019[[#This Row],[State]], [1]!NonNurse[MDScensus]) * 60</f>
        <v>4.501871567685173</v>
      </c>
      <c r="AD4" s="23">
        <f>RANK(State112019[[#This Row],[Total Social Work MPRD]],State112019[Total Social Work MPRD])</f>
        <v>44</v>
      </c>
      <c r="AE4" s="22">
        <f>(SUMIF([1]!NonNurse[STATE], State112019[[#This Row],[State]], [1]!NonNurse[Hrs_OT]) + SUMIF([1]!NonNurse[STATE], State112019[[#This Row],[State]], [1]!NonNurse[Hrs_OTasst]) + SUMIF([1]!NonNurse[STATE], State112019[[#This Row],[State]], [1]!NonNurse[Hrs_OTaide])) / SUMIF([1]!NonNurse[STATE], State112019[[#This Row],[State]], [1]!NonNurse[MDScensus]) * 60</f>
        <v>6.1029068635480055</v>
      </c>
      <c r="AF4" s="23">
        <f>RANK(State112019[[#This Row],[Total OT MPRD]],State112019[Total OT MPRD])</f>
        <v>42</v>
      </c>
      <c r="AG4" s="22">
        <f>(SUMIF([1]!NonNurse[STATE], State112019[[#This Row],[State]], [1]!NonNurse[Hrs_PT]) + SUMIF([1]!NonNurse[STATE], State112019[[#This Row],[State]], [1]!NonNurse[Hrs_PTasst]) + SUMIF([1]!NonNurse[STATE], State112019[[#This Row],[State]], [1]!NonNurse[Hrs_PTaide])) / SUMIF([1]!NonNurse[STATE], State112019[[#This Row],[State]], [1]!NonNurse[MDScensus]) * 60</f>
        <v>6.7319603558945396</v>
      </c>
      <c r="AH4" s="23">
        <f>RANK(State112019[[#This Row],[Total PT MPRD]],State112019[Total PT MPRD])</f>
        <v>43</v>
      </c>
      <c r="AI4" s="22">
        <f>(SUMIF([1]!NonNurse[STATE], State112019[[#This Row],[State]], [1]!NonNurse[Hrs_QualActvProf]) + SUMIF([1]!NonNurse[STATE], State112019[[#This Row],[State]], [1]!NonNurse[Hrs_OthActv])) / SUMIF([1]!NonNurse[STATE], State112019[[#This Row],[State]], [1]!NonNurse[MDScensus]) * 60</f>
        <v>6.5605873681542999</v>
      </c>
      <c r="AJ4" s="20">
        <f>RANK(State112019[[#This Row],[Total Activities MPRD]], State112019[Total Activities MPRD])</f>
        <v>44</v>
      </c>
      <c r="AL4" s="23" t="s">
        <v>304</v>
      </c>
      <c r="AM4" s="23">
        <f>SUM([1]!NonNurse[Hrs_MedDir])</f>
        <v>5274.6445555555447</v>
      </c>
      <c r="AN4" s="22">
        <f>Category122120[[#This Row],[US Total Hours]]/SUM([1]!NonNurse[MDScensus])*60</f>
        <v>0.25583479250278834</v>
      </c>
      <c r="AO4" s="34">
        <f>COUNTIF([1]!NonNurse[Hrs_MedDir], 0)</f>
        <v>5430</v>
      </c>
      <c r="AQ4" s="23"/>
    </row>
    <row r="5" spans="2:45" s="9" customFormat="1" ht="15" customHeight="1" x14ac:dyDescent="0.2">
      <c r="B5" s="48" t="s">
        <v>187</v>
      </c>
      <c r="C5" s="49">
        <f>(SUM([1]!NonNurse[Hrs_QualSocWrk], [1]!NonNurse[Hrs_OthSocWrk]))/(SUM([1]!NonNurse[MDScensus]))*60</f>
        <v>5.3945187844972402</v>
      </c>
      <c r="D5" s="47">
        <f>MEDIAN([1]!NonNurse[MPRD: Total Social Work])</f>
        <v>5.1238369166606699</v>
      </c>
      <c r="E5" s="51"/>
      <c r="F5" s="9">
        <v>3</v>
      </c>
      <c r="G5" s="23">
        <f>SUMIF([1]!NonNurse[CMS Region Number], CMSRegion101718[[#This Row],[CMS Region Number]], [1]!NonNurse[MDScensus])</f>
        <v>134535.64444444422</v>
      </c>
      <c r="H5" s="23">
        <f>COUNTIF([1]!NonNurse[CMS Region Number], CMSRegion101718[[#This Row],[CMS Region Number]])</f>
        <v>1348</v>
      </c>
      <c r="I5" s="22">
        <f>SUMIF([1]!NonNurse[CMS Region Number], CMSRegion101718[[#This Row],[CMS Region Number]], [1]!NonNurse[Hrs_Admin])/SUMIF([1]!NonNurse[CMS Region Number], CMSRegion101718[[#This Row],[CMS Region Number]], [1]!NonNurse[MDScensus])*60</f>
        <v>3.3058190774390428</v>
      </c>
      <c r="J5" s="23">
        <f>RANK(CMSRegion101718[[#This Row],[Total Admin MPRD]],CMSRegion101718[Total Admin MPRD])</f>
        <v>9</v>
      </c>
      <c r="K5" s="22">
        <f>SUMIF([1]!NonNurse[CMS Region Number], CMSRegion101718[[#This Row],[CMS Region Number]], [1]!NonNurse[Hrs_MedDir])/SUMIF([1]!NonNurse[CMS Region Number], CMSRegion101718[[#This Row],[CMS Region Number]], [1]!NonNurse[MDScensus])*60</f>
        <v>0.32811046853506337</v>
      </c>
      <c r="L5" s="23">
        <f>RANK(CMSRegion101718[[#This Row],[Total MedDir MPRD]],CMSRegion101718[Total MedDir MPRD])</f>
        <v>2</v>
      </c>
      <c r="M5"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5.0872220232754541</v>
      </c>
      <c r="N5" s="23">
        <f>RANK(CMSRegion101718[[#This Row],[Total Social Work MPRD]],CMSRegion101718[Total Social Work MPRD])</f>
        <v>8</v>
      </c>
      <c r="O5"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8.5957523359360817</v>
      </c>
      <c r="P5" s="23">
        <f>RANK(CMSRegion101718[[#This Row],[Total OT MPRD]],CMSRegion101718[Total OT MPRD])</f>
        <v>5</v>
      </c>
      <c r="Q5"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9.3226539715868757</v>
      </c>
      <c r="R5" s="23">
        <f>RANK(CMSRegion101718[[#This Row],[Total PT MPRD]],CMSRegion101718[Total PT MPRD])</f>
        <v>6</v>
      </c>
      <c r="S5"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10.269402573857342</v>
      </c>
      <c r="T5" s="23">
        <f>RANK(CMSRegion101718[[#This Row],[Total Activities MPRD]], CMSRegion101718[Total Activities MPRD])</f>
        <v>5</v>
      </c>
      <c r="V5" s="21" t="s">
        <v>303</v>
      </c>
      <c r="W5" s="23">
        <f>SUMIF([1]!NonNurse[STATE], State112019[[#This Row],[State]], [1]!NonNurse[MDScensus])</f>
        <v>16544.588888888851</v>
      </c>
      <c r="X5" s="23">
        <f>COUNTIF([1]!NonNurse[STATE], State112019[[#This Row],[State]])</f>
        <v>216</v>
      </c>
      <c r="Y5" s="22">
        <f>SUMIF([1]!NonNurse[STATE], State112019[[#This Row],[State]], [1]!NonNurse[Hrs_Admin])/SUMIF([1]!NonNurse[STATE], State112019[[#This Row],[State]], [1]!NonNurse[MDScensus])*60</f>
        <v>4.3210659678592478</v>
      </c>
      <c r="Z5" s="23">
        <f>RANK(State112019[[#This Row],[Total Admin MPRD]],State112019[Total Admin MPRD])</f>
        <v>23</v>
      </c>
      <c r="AA5" s="22">
        <f>SUMIF([1]!NonNurse[STATE], State112019[[#This Row],[State]], [1]!NonNurse[Hrs_MedDir])/SUMIF([1]!NonNurse[STATE], State112019[[#This Row],[State]], [1]!NonNurse[MDScensus])*60</f>
        <v>0.24975940438397809</v>
      </c>
      <c r="AB5" s="23">
        <f>RANK(State112019[[#This Row],[Total MedDir MPRD]],State112019[Total MedDir MPRD])</f>
        <v>29</v>
      </c>
      <c r="AC5" s="22">
        <f>(SUMIF([1]!NonNurse[STATE], State112019[[#This Row],[State]], [1]!NonNurse[Hrs_QualSocWrk]) + SUMIF([1]!NonNurse[STATE], State112019[[#This Row],[State]], [1]!NonNurse[Hrs_OthSocWrk])) / SUMIF([1]!NonNurse[STATE], State112019[[#This Row],[State]], [1]!NonNurse[MDScensus]) * 60</f>
        <v>3.9773507685963829</v>
      </c>
      <c r="AD5" s="23">
        <f>RANK(State112019[[#This Row],[Total Social Work MPRD]],State112019[Total Social Work MPRD])</f>
        <v>50</v>
      </c>
      <c r="AE5" s="22">
        <f>(SUMIF([1]!NonNurse[STATE], State112019[[#This Row],[State]], [1]!NonNurse[Hrs_OT]) + SUMIF([1]!NonNurse[STATE], State112019[[#This Row],[State]], [1]!NonNurse[Hrs_OTasst]) + SUMIF([1]!NonNurse[STATE], State112019[[#This Row],[State]], [1]!NonNurse[Hrs_OTaide])) / SUMIF([1]!NonNurse[STATE], State112019[[#This Row],[State]], [1]!NonNurse[MDScensus]) * 60</f>
        <v>4.6461660173551254</v>
      </c>
      <c r="AF5" s="23">
        <f>RANK(State112019[[#This Row],[Total OT MPRD]],State112019[Total OT MPRD])</f>
        <v>50</v>
      </c>
      <c r="AG5" s="22">
        <f>(SUMIF([1]!NonNurse[STATE], State112019[[#This Row],[State]], [1]!NonNurse[Hrs_PT]) + SUMIF([1]!NonNurse[STATE], State112019[[#This Row],[State]], [1]!NonNurse[Hrs_PTasst]) + SUMIF([1]!NonNurse[STATE], State112019[[#This Row],[State]], [1]!NonNurse[Hrs_PTaide])) / SUMIF([1]!NonNurse[STATE], State112019[[#This Row],[State]], [1]!NonNurse[MDScensus]) * 60</f>
        <v>5.1867762067893359</v>
      </c>
      <c r="AH5" s="23">
        <f>RANK(State112019[[#This Row],[Total PT MPRD]],State112019[Total PT MPRD])</f>
        <v>50</v>
      </c>
      <c r="AI5" s="22">
        <f>(SUMIF([1]!NonNurse[STATE], State112019[[#This Row],[State]], [1]!NonNurse[Hrs_QualActvProf]) + SUMIF([1]!NonNurse[STATE], State112019[[#This Row],[State]], [1]!NonNurse[Hrs_OthActv])) / SUMIF([1]!NonNurse[STATE], State112019[[#This Row],[State]], [1]!NonNurse[MDScensus]) * 60</f>
        <v>4.4081421720293967</v>
      </c>
      <c r="AJ5" s="20">
        <f>RANK(State112019[[#This Row],[Total Activities MPRD]], State112019[Total Activities MPRD])</f>
        <v>51</v>
      </c>
      <c r="AL5" s="23" t="s">
        <v>302</v>
      </c>
      <c r="AM5" s="23">
        <f>SUM([1]!NonNurse[Hrs_Pharmacist])</f>
        <v>5371.09744444444</v>
      </c>
      <c r="AN5" s="22">
        <f>Category122120[[#This Row],[US Total Hours]]/SUM([1]!NonNurse[MDScensus])*60</f>
        <v>0.26051302334001031</v>
      </c>
      <c r="AO5" s="34">
        <f>COUNTIF([1]!NonNurse[Hrs_Pharmacist], 0)</f>
        <v>6021</v>
      </c>
      <c r="AR5" s="31"/>
      <c r="AS5" s="31"/>
    </row>
    <row r="6" spans="2:45" s="9" customFormat="1" ht="15" customHeight="1" x14ac:dyDescent="0.2">
      <c r="B6" s="50" t="s">
        <v>301</v>
      </c>
      <c r="C6" s="44">
        <f>(SUM([1]!NonNurse[Hrs_OT], [1]!NonNurse[Hrs_OTasst], [1]!NonNurse[Hrs_OTaide]))/(SUM([1]!NonNurse[MDScensus]))*60</f>
        <v>8.5013634825021001</v>
      </c>
      <c r="D6" s="49">
        <f>MEDIAN([1]!NonNurse[MPRD: OT (incl. Assistant &amp; Aide)])</f>
        <v>7.4505823627287802</v>
      </c>
      <c r="E6" s="21"/>
      <c r="F6" s="9">
        <v>4</v>
      </c>
      <c r="G6" s="23">
        <f>SUMIF([1]!NonNurse[CMS Region Number], CMSRegion101718[[#This Row],[CMS Region Number]], [1]!NonNurse[MDScensus])</f>
        <v>239869.03333333391</v>
      </c>
      <c r="H6" s="23">
        <f>COUNTIF([1]!NonNurse[CMS Region Number], CMSRegion101718[[#This Row],[CMS Region Number]])</f>
        <v>2621</v>
      </c>
      <c r="I6" s="22">
        <f>SUMIF([1]!NonNurse[CMS Region Number], CMSRegion101718[[#This Row],[CMS Region Number]], [1]!NonNurse[Hrs_Admin])/SUMIF([1]!NonNurse[CMS Region Number], CMSRegion101718[[#This Row],[CMS Region Number]], [1]!NonNurse[MDScensus])*60</f>
        <v>3.622696385291412</v>
      </c>
      <c r="J6" s="23">
        <f>RANK(CMSRegion101718[[#This Row],[Total Admin MPRD]],CMSRegion101718[Total Admin MPRD])</f>
        <v>6</v>
      </c>
      <c r="K6" s="22">
        <f>SUMIF([1]!NonNurse[CMS Region Number], CMSRegion101718[[#This Row],[CMS Region Number]], [1]!NonNurse[Hrs_MedDir])/SUMIF([1]!NonNurse[CMS Region Number], CMSRegion101718[[#This Row],[CMS Region Number]], [1]!NonNurse[MDScensus])*60</f>
        <v>0.22615577306004761</v>
      </c>
      <c r="L6" s="23">
        <f>RANK(CMSRegion101718[[#This Row],[Total MedDir MPRD]],CMSRegion101718[Total MedDir MPRD])</f>
        <v>8</v>
      </c>
      <c r="M6"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5.1025582154483899</v>
      </c>
      <c r="N6" s="23">
        <f>RANK(CMSRegion101718[[#This Row],[Total Social Work MPRD]],CMSRegion101718[Total Social Work MPRD])</f>
        <v>7</v>
      </c>
      <c r="O6"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8.9261391389828884</v>
      </c>
      <c r="P6" s="23">
        <f>RANK(CMSRegion101718[[#This Row],[Total OT MPRD]],CMSRegion101718[Total OT MPRD])</f>
        <v>3</v>
      </c>
      <c r="Q6"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9.8372328733276291</v>
      </c>
      <c r="R6" s="23">
        <f>RANK(CMSRegion101718[[#This Row],[Total PT MPRD]],CMSRegion101718[Total PT MPRD])</f>
        <v>4</v>
      </c>
      <c r="S6"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7.2556996727797474</v>
      </c>
      <c r="T6" s="23">
        <f>RANK(CMSRegion101718[[#This Row],[Total Activities MPRD]], CMSRegion101718[Total Activities MPRD])</f>
        <v>9</v>
      </c>
      <c r="V6" s="21" t="s">
        <v>300</v>
      </c>
      <c r="W6" s="23">
        <f>SUMIF([1]!NonNurse[STATE], State112019[[#This Row],[State]], [1]!NonNurse[MDScensus])</f>
        <v>11906.699999999977</v>
      </c>
      <c r="X6" s="23">
        <f>COUNTIF([1]!NonNurse[STATE], State112019[[#This Row],[State]])</f>
        <v>140</v>
      </c>
      <c r="Y6" s="22">
        <f>SUMIF([1]!NonNurse[STATE], State112019[[#This Row],[State]], [1]!NonNurse[Hrs_Admin])/SUMIF([1]!NonNurse[STATE], State112019[[#This Row],[State]], [1]!NonNurse[MDScensus])*60</f>
        <v>3.8055979686507051</v>
      </c>
      <c r="Z6" s="23">
        <f>RANK(State112019[[#This Row],[Total Admin MPRD]],State112019[Total Admin MPRD])</f>
        <v>33</v>
      </c>
      <c r="AA6" s="22">
        <f>SUMIF([1]!NonNurse[STATE], State112019[[#This Row],[State]], [1]!NonNurse[Hrs_MedDir])/SUMIF([1]!NonNurse[STATE], State112019[[#This Row],[State]], [1]!NonNurse[MDScensus])*60</f>
        <v>0.25238451180147869</v>
      </c>
      <c r="AB6" s="23">
        <f>RANK(State112019[[#This Row],[Total MedDir MPRD]],State112019[Total MedDir MPRD])</f>
        <v>27</v>
      </c>
      <c r="AC6" s="22">
        <f>(SUMIF([1]!NonNurse[STATE], State112019[[#This Row],[State]], [1]!NonNurse[Hrs_QualSocWrk]) + SUMIF([1]!NonNurse[STATE], State112019[[#This Row],[State]], [1]!NonNurse[Hrs_OthSocWrk])) / SUMIF([1]!NonNurse[STATE], State112019[[#This Row],[State]], [1]!NonNurse[MDScensus]) * 60</f>
        <v>10.337845078821175</v>
      </c>
      <c r="AD6" s="23">
        <f>RANK(State112019[[#This Row],[Total Social Work MPRD]],State112019[Total Social Work MPRD])</f>
        <v>2</v>
      </c>
      <c r="AE6" s="22">
        <f>(SUMIF([1]!NonNurse[STATE], State112019[[#This Row],[State]], [1]!NonNurse[Hrs_OT]) + SUMIF([1]!NonNurse[STATE], State112019[[#This Row],[State]], [1]!NonNurse[Hrs_OTasst]) + SUMIF([1]!NonNurse[STATE], State112019[[#This Row],[State]], [1]!NonNurse[Hrs_OTaide])) / SUMIF([1]!NonNurse[STATE], State112019[[#This Row],[State]], [1]!NonNurse[MDScensus]) * 60</f>
        <v>12.048386762635038</v>
      </c>
      <c r="AF6" s="23">
        <f>RANK(State112019[[#This Row],[Total OT MPRD]],State112019[Total OT MPRD])</f>
        <v>1</v>
      </c>
      <c r="AG6" s="22">
        <f>(SUMIF([1]!NonNurse[STATE], State112019[[#This Row],[State]], [1]!NonNurse[Hrs_PT]) + SUMIF([1]!NonNurse[STATE], State112019[[#This Row],[State]], [1]!NonNurse[Hrs_PTasst]) + SUMIF([1]!NonNurse[STATE], State112019[[#This Row],[State]], [1]!NonNurse[Hrs_PTaide])) / SUMIF([1]!NonNurse[STATE], State112019[[#This Row],[State]], [1]!NonNurse[MDScensus]) * 60</f>
        <v>13.497996366191579</v>
      </c>
      <c r="AH6" s="23">
        <f>RANK(State112019[[#This Row],[Total PT MPRD]],State112019[Total PT MPRD])</f>
        <v>3</v>
      </c>
      <c r="AI6" s="22">
        <f>(SUMIF([1]!NonNurse[STATE], State112019[[#This Row],[State]], [1]!NonNurse[Hrs_QualActvProf]) + SUMIF([1]!NonNurse[STATE], State112019[[#This Row],[State]], [1]!NonNurse[Hrs_OthActv])) / SUMIF([1]!NonNurse[STATE], State112019[[#This Row],[State]], [1]!NonNurse[MDScensus]) * 60</f>
        <v>10.600616459640376</v>
      </c>
      <c r="AJ6" s="20">
        <f>RANK(State112019[[#This Row],[Total Activities MPRD]], State112019[Total Activities MPRD])</f>
        <v>25</v>
      </c>
      <c r="AL6" s="23" t="s">
        <v>299</v>
      </c>
      <c r="AM6" s="23">
        <f>SUM([1]!NonNurse[Hrs_Dietician])</f>
        <v>33642.01866666651</v>
      </c>
      <c r="AN6" s="22">
        <f>Category122120[[#This Row],[US Total Hours]]/SUM([1]!NonNurse[MDScensus])*60</f>
        <v>1.6317305885372704</v>
      </c>
      <c r="AO6" s="34">
        <f>COUNTIF([1]!NonNurse[Hrs_Dietician], 0)</f>
        <v>4012</v>
      </c>
      <c r="AR6" s="31"/>
      <c r="AS6" s="31"/>
    </row>
    <row r="7" spans="2:45" s="9" customFormat="1" ht="15" customHeight="1" x14ac:dyDescent="0.2">
      <c r="B7" s="48" t="s">
        <v>298</v>
      </c>
      <c r="C7" s="47">
        <f>(SUM([1]!NonNurse[Hrs_PT], [1]!NonNurse[Hrs_PTasst], [1]!NonNurse[Hrs_PTaide]))/(SUM([1]!NonNurse[MDScensus]))*60</f>
        <v>9.5286808430878374</v>
      </c>
      <c r="D7" s="46">
        <f>MEDIAN([1]!NonNurse[MPRD: PT (incl. Assistant &amp; Aide)])</f>
        <v>8.1863968521641297</v>
      </c>
      <c r="E7" s="21"/>
      <c r="F7" s="9">
        <v>5</v>
      </c>
      <c r="G7" s="23">
        <f>SUMIF([1]!NonNurse[CMS Region Number], CMSRegion101718[[#This Row],[CMS Region Number]], [1]!NonNurse[MDScensus])</f>
        <v>238189.87777777776</v>
      </c>
      <c r="H7" s="23">
        <f>COUNTIF([1]!NonNurse[CMS Region Number], CMSRegion101718[[#This Row],[CMS Region Number]])</f>
        <v>3164</v>
      </c>
      <c r="I7" s="22">
        <f>SUMIF([1]!NonNurse[CMS Region Number], CMSRegion101718[[#This Row],[CMS Region Number]], [1]!NonNurse[Hrs_Admin])/SUMIF([1]!NonNurse[CMS Region Number], CMSRegion101718[[#This Row],[CMS Region Number]], [1]!NonNurse[MDScensus])*60</f>
        <v>4.2350677650310127</v>
      </c>
      <c r="J7" s="23">
        <f>RANK(CMSRegion101718[[#This Row],[Total Admin MPRD]],CMSRegion101718[Total Admin MPRD])</f>
        <v>5</v>
      </c>
      <c r="K7" s="22">
        <f>SUMIF([1]!NonNurse[CMS Region Number], CMSRegion101718[[#This Row],[CMS Region Number]], [1]!NonNurse[Hrs_MedDir])/SUMIF([1]!NonNurse[CMS Region Number], CMSRegion101718[[#This Row],[CMS Region Number]], [1]!NonNurse[MDScensus])*60</f>
        <v>0.22996468410426421</v>
      </c>
      <c r="L7" s="23">
        <f>RANK(CMSRegion101718[[#This Row],[Total MedDir MPRD]],CMSRegion101718[Total MedDir MPRD])</f>
        <v>5</v>
      </c>
      <c r="M7"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5.3885009107346686</v>
      </c>
      <c r="N7" s="23">
        <f>RANK(CMSRegion101718[[#This Row],[Total Social Work MPRD]],CMSRegion101718[Total Social Work MPRD])</f>
        <v>6</v>
      </c>
      <c r="O7"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7.590013998635726</v>
      </c>
      <c r="P7" s="23">
        <f>RANK(CMSRegion101718[[#This Row],[Total OT MPRD]],CMSRegion101718[Total OT MPRD])</f>
        <v>8</v>
      </c>
      <c r="Q7"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8.516983896460939</v>
      </c>
      <c r="R7" s="23">
        <f>RANK(CMSRegion101718[[#This Row],[Total PT MPRD]],CMSRegion101718[Total PT MPRD])</f>
        <v>8</v>
      </c>
      <c r="S7"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12.50950477464548</v>
      </c>
      <c r="T7" s="23">
        <f>RANK(CMSRegion101718[[#This Row],[Total Activities MPRD]], CMSRegion101718[Total Activities MPRD])</f>
        <v>1</v>
      </c>
      <c r="V7" s="21" t="s">
        <v>297</v>
      </c>
      <c r="W7" s="23">
        <f>SUMIF([1]!NonNurse[STATE], State112019[[#This Row],[State]], [1]!NonNurse[MDScensus])</f>
        <v>100552.89999999986</v>
      </c>
      <c r="X7" s="23">
        <f>COUNTIF([1]!NonNurse[STATE], State112019[[#This Row],[State]])</f>
        <v>1142</v>
      </c>
      <c r="Y7" s="22">
        <f>SUMIF([1]!NonNurse[STATE], State112019[[#This Row],[State]], [1]!NonNurse[Hrs_Admin])/SUMIF([1]!NonNurse[STATE], State112019[[#This Row],[State]], [1]!NonNurse[MDScensus])*60</f>
        <v>3.3809680940745404</v>
      </c>
      <c r="Z7" s="23">
        <f>RANK(State112019[[#This Row],[Total Admin MPRD]],State112019[Total Admin MPRD])</f>
        <v>41</v>
      </c>
      <c r="AA7" s="22">
        <f>SUMIF([1]!NonNurse[STATE], State112019[[#This Row],[State]], [1]!NonNurse[Hrs_MedDir])/SUMIF([1]!NonNurse[STATE], State112019[[#This Row],[State]], [1]!NonNurse[MDScensus])*60</f>
        <v>0.21864617198177913</v>
      </c>
      <c r="AB7" s="23">
        <f>RANK(State112019[[#This Row],[Total MedDir MPRD]],State112019[Total MedDir MPRD])</f>
        <v>37</v>
      </c>
      <c r="AC7" s="22">
        <f>(SUMIF([1]!NonNurse[STATE], State112019[[#This Row],[State]], [1]!NonNurse[Hrs_QualSocWrk]) + SUMIF([1]!NonNurse[STATE], State112019[[#This Row],[State]], [1]!NonNurse[Hrs_OthSocWrk])) / SUMIF([1]!NonNurse[STATE], State112019[[#This Row],[State]], [1]!NonNurse[MDScensus]) * 60</f>
        <v>6.8335161558410151</v>
      </c>
      <c r="AD7" s="23">
        <f>RANK(State112019[[#This Row],[Total Social Work MPRD]],State112019[Total Social Work MPRD])</f>
        <v>14</v>
      </c>
      <c r="AE7" s="22">
        <f>(SUMIF([1]!NonNurse[STATE], State112019[[#This Row],[State]], [1]!NonNurse[Hrs_OT]) + SUMIF([1]!NonNurse[STATE], State112019[[#This Row],[State]], [1]!NonNurse[Hrs_OTasst]) + SUMIF([1]!NonNurse[STATE], State112019[[#This Row],[State]], [1]!NonNurse[Hrs_OTaide])) / SUMIF([1]!NonNurse[STATE], State112019[[#This Row],[State]], [1]!NonNurse[MDScensus]) * 60</f>
        <v>10.311932060968219</v>
      </c>
      <c r="AF7" s="23">
        <f>RANK(State112019[[#This Row],[Total OT MPRD]],State112019[Total OT MPRD])</f>
        <v>7</v>
      </c>
      <c r="AG7" s="22">
        <f>(SUMIF([1]!NonNurse[STATE], State112019[[#This Row],[State]], [1]!NonNurse[Hrs_PT]) + SUMIF([1]!NonNurse[STATE], State112019[[#This Row],[State]], [1]!NonNurse[Hrs_PTasst]) + SUMIF([1]!NonNurse[STATE], State112019[[#This Row],[State]], [1]!NonNurse[Hrs_PTaide])) / SUMIF([1]!NonNurse[STATE], State112019[[#This Row],[State]], [1]!NonNurse[MDScensus]) * 60</f>
        <v>12.166723784197165</v>
      </c>
      <c r="AH7" s="23">
        <f>RANK(State112019[[#This Row],[Total PT MPRD]],State112019[Total PT MPRD])</f>
        <v>5</v>
      </c>
      <c r="AI7" s="22">
        <f>(SUMIF([1]!NonNurse[STATE], State112019[[#This Row],[State]], [1]!NonNurse[Hrs_QualActvProf]) + SUMIF([1]!NonNurse[STATE], State112019[[#This Row],[State]], [1]!NonNurse[Hrs_OthActv])) / SUMIF([1]!NonNurse[STATE], State112019[[#This Row],[State]], [1]!NonNurse[MDScensus]) * 60</f>
        <v>11.218577153584491</v>
      </c>
      <c r="AJ7" s="20">
        <f>RANK(State112019[[#This Row],[Total Activities MPRD]], State112019[Total Activities MPRD])</f>
        <v>20</v>
      </c>
      <c r="AL7" s="23" t="s">
        <v>209</v>
      </c>
      <c r="AM7" s="23">
        <f>SUM([1]!NonNurse[Hrs_PA])</f>
        <v>543.83711111111018</v>
      </c>
      <c r="AN7" s="22">
        <f>Category122120[[#This Row],[US Total Hours]]/SUM([1]!NonNurse[MDScensus])*60</f>
        <v>2.637759815111803E-2</v>
      </c>
      <c r="AO7" s="34">
        <f>COUNTIF([1]!NonNurse[Hrs_PA], 0)</f>
        <v>14245</v>
      </c>
      <c r="AP7" s="31"/>
      <c r="AQ7" s="31"/>
      <c r="AR7" s="31"/>
      <c r="AS7" s="31"/>
    </row>
    <row r="8" spans="2:45" s="9" customFormat="1" ht="15" customHeight="1" x14ac:dyDescent="0.2">
      <c r="B8" s="45" t="s">
        <v>296</v>
      </c>
      <c r="C8" s="44">
        <f>(SUM([1]!NonNurse[Hrs_QualActvProf], [1]!NonNurse[Hrs_OthActv]))/(SUM([1]!NonNurse[MDScensus]))*60</f>
        <v>9.601575606606394</v>
      </c>
      <c r="D8" s="43">
        <f>MEDIAN([1]!NonNurse[MPRD: Combined Activities])</f>
        <v>8.8098086124401895</v>
      </c>
      <c r="F8" s="9">
        <v>6</v>
      </c>
      <c r="G8" s="23">
        <f>SUMIF([1]!NonNurse[CMS Region Number], CMSRegion101718[[#This Row],[CMS Region Number]], [1]!NonNurse[MDScensus])</f>
        <v>149564.42222222226</v>
      </c>
      <c r="H8" s="23">
        <f>COUNTIF([1]!NonNurse[CMS Region Number], CMSRegion101718[[#This Row],[CMS Region Number]])</f>
        <v>1985</v>
      </c>
      <c r="I8" s="22">
        <f>SUMIF([1]!NonNurse[CMS Region Number], CMSRegion101718[[#This Row],[CMS Region Number]], [1]!NonNurse[Hrs_Admin])/SUMIF([1]!NonNurse[CMS Region Number], CMSRegion101718[[#This Row],[CMS Region Number]], [1]!NonNurse[MDScensus])*60</f>
        <v>4.4005384673331003</v>
      </c>
      <c r="J8" s="23">
        <f>RANK(CMSRegion101718[[#This Row],[Total Admin MPRD]],CMSRegion101718[Total Admin MPRD])</f>
        <v>4</v>
      </c>
      <c r="K8" s="22">
        <f>SUMIF([1]!NonNurse[CMS Region Number], CMSRegion101718[[#This Row],[CMS Region Number]], [1]!NonNurse[Hrs_MedDir])/SUMIF([1]!NonNurse[CMS Region Number], CMSRegion101718[[#This Row],[CMS Region Number]], [1]!NonNurse[MDScensus])*60</f>
        <v>0.21679202079995583</v>
      </c>
      <c r="L8" s="23">
        <f>RANK(CMSRegion101718[[#This Row],[Total MedDir MPRD]],CMSRegion101718[Total MedDir MPRD])</f>
        <v>9</v>
      </c>
      <c r="M8"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3.9349152999695742</v>
      </c>
      <c r="N8" s="23">
        <f>RANK(CMSRegion101718[[#This Row],[Total Social Work MPRD]],CMSRegion101718[Total Social Work MPRD])</f>
        <v>10</v>
      </c>
      <c r="O8"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8.7115286775717085</v>
      </c>
      <c r="P8" s="23">
        <f>RANK(CMSRegion101718[[#This Row],[Total OT MPRD]],CMSRegion101718[Total OT MPRD])</f>
        <v>4</v>
      </c>
      <c r="Q8"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9.5573437325186603</v>
      </c>
      <c r="R8" s="23">
        <f>RANK(CMSRegion101718[[#This Row],[Total PT MPRD]],CMSRegion101718[Total PT MPRD])</f>
        <v>5</v>
      </c>
      <c r="S8"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5.6669363435956672</v>
      </c>
      <c r="T8" s="23">
        <f>RANK(CMSRegion101718[[#This Row],[Total Activities MPRD]], CMSRegion101718[Total Activities MPRD])</f>
        <v>10</v>
      </c>
      <c r="V8" s="21" t="s">
        <v>295</v>
      </c>
      <c r="W8" s="23">
        <f>SUMIF([1]!NonNurse[STATE], State112019[[#This Row],[State]], [1]!NonNurse[MDScensus])</f>
        <v>15076.222222222192</v>
      </c>
      <c r="X8" s="23">
        <f>COUNTIF([1]!NonNurse[STATE], State112019[[#This Row],[State]])</f>
        <v>210</v>
      </c>
      <c r="Y8" s="22">
        <f>SUMIF([1]!NonNurse[STATE], State112019[[#This Row],[State]], [1]!NonNurse[Hrs_Admin])/SUMIF([1]!NonNurse[STATE], State112019[[#This Row],[State]], [1]!NonNurse[MDScensus])*60</f>
        <v>4.4613581356956535</v>
      </c>
      <c r="Z8" s="23">
        <f>RANK(State112019[[#This Row],[Total Admin MPRD]],State112019[Total Admin MPRD])</f>
        <v>21</v>
      </c>
      <c r="AA8" s="22">
        <f>SUMIF([1]!NonNurse[STATE], State112019[[#This Row],[State]], [1]!NonNurse[Hrs_MedDir])/SUMIF([1]!NonNurse[STATE], State112019[[#This Row],[State]], [1]!NonNurse[MDScensus])*60</f>
        <v>0.17066034815677381</v>
      </c>
      <c r="AB8" s="23">
        <f>RANK(State112019[[#This Row],[Total MedDir MPRD]],State112019[Total MedDir MPRD])</f>
        <v>49</v>
      </c>
      <c r="AC8" s="22">
        <f>(SUMIF([1]!NonNurse[STATE], State112019[[#This Row],[State]], [1]!NonNurse[Hrs_QualSocWrk]) + SUMIF([1]!NonNurse[STATE], State112019[[#This Row],[State]], [1]!NonNurse[Hrs_OthSocWrk])) / SUMIF([1]!NonNurse[STATE], State112019[[#This Row],[State]], [1]!NonNurse[MDScensus]) * 60</f>
        <v>9.4572078180505006</v>
      </c>
      <c r="AD8" s="23">
        <f>RANK(State112019[[#This Row],[Total Social Work MPRD]],State112019[Total Social Work MPRD])</f>
        <v>3</v>
      </c>
      <c r="AE8" s="22">
        <f>(SUMIF([1]!NonNurse[STATE], State112019[[#This Row],[State]], [1]!NonNurse[Hrs_OT]) + SUMIF([1]!NonNurse[STATE], State112019[[#This Row],[State]], [1]!NonNurse[Hrs_OTasst]) + SUMIF([1]!NonNurse[STATE], State112019[[#This Row],[State]], [1]!NonNurse[Hrs_OTaide])) / SUMIF([1]!NonNurse[STATE], State112019[[#This Row],[State]], [1]!NonNurse[MDScensus]) * 60</f>
        <v>8.6158171071444372</v>
      </c>
      <c r="AF8" s="23">
        <f>RANK(State112019[[#This Row],[Total OT MPRD]],State112019[Total OT MPRD])</f>
        <v>19</v>
      </c>
      <c r="AG8" s="22">
        <f>(SUMIF([1]!NonNurse[STATE], State112019[[#This Row],[State]], [1]!NonNurse[Hrs_PT]) + SUMIF([1]!NonNurse[STATE], State112019[[#This Row],[State]], [1]!NonNurse[Hrs_PTasst]) + SUMIF([1]!NonNurse[STATE], State112019[[#This Row],[State]], [1]!NonNurse[Hrs_PTaide])) / SUMIF([1]!NonNurse[STATE], State112019[[#This Row],[State]], [1]!NonNurse[MDScensus]) * 60</f>
        <v>10.230355526730836</v>
      </c>
      <c r="AH8" s="23">
        <f>RANK(State112019[[#This Row],[Total PT MPRD]],State112019[Total PT MPRD])</f>
        <v>16</v>
      </c>
      <c r="AI8" s="22">
        <f>(SUMIF([1]!NonNurse[STATE], State112019[[#This Row],[State]], [1]!NonNurse[Hrs_QualActvProf]) + SUMIF([1]!NonNurse[STATE], State112019[[#This Row],[State]], [1]!NonNurse[Hrs_OthActv])) / SUMIF([1]!NonNurse[STATE], State112019[[#This Row],[State]], [1]!NonNurse[MDScensus]) * 60</f>
        <v>11.88565305189924</v>
      </c>
      <c r="AJ8" s="20">
        <f>RANK(State112019[[#This Row],[Total Activities MPRD]], State112019[Total Activities MPRD])</f>
        <v>16</v>
      </c>
      <c r="AL8" s="23" t="s">
        <v>294</v>
      </c>
      <c r="AM8" s="23">
        <f>SUM([1]!NonNurse[Hrs_NP])</f>
        <v>4065.6753333333268</v>
      </c>
      <c r="AN8" s="22">
        <f>Category122120[[#This Row],[US Total Hours]]/SUM([1]!NonNurse[MDScensus])*60</f>
        <v>0.19719645453483736</v>
      </c>
      <c r="AO8" s="34">
        <f>COUNTIF([1]!NonNurse[Hrs_NP], 0)</f>
        <v>13069</v>
      </c>
      <c r="AP8" s="31"/>
      <c r="AQ8" s="31"/>
      <c r="AR8" s="31"/>
      <c r="AS8" s="31"/>
    </row>
    <row r="9" spans="2:45" s="9" customFormat="1" ht="15" customHeight="1" x14ac:dyDescent="0.2">
      <c r="B9" s="42" t="s">
        <v>293</v>
      </c>
      <c r="C9" s="41"/>
      <c r="D9" s="40"/>
      <c r="F9" s="9">
        <v>7</v>
      </c>
      <c r="G9" s="23">
        <f>SUMIF([1]!NonNurse[CMS Region Number], CMSRegion101718[[#This Row],[CMS Region Number]], [1]!NonNurse[MDScensus])</f>
        <v>79044.844444444447</v>
      </c>
      <c r="H9" s="23">
        <f>COUNTIF([1]!NonNurse[CMS Region Number], CMSRegion101718[[#This Row],[CMS Region Number]])</f>
        <v>1342</v>
      </c>
      <c r="I9" s="22">
        <f>SUMIF([1]!NonNurse[CMS Region Number], CMSRegion101718[[#This Row],[CMS Region Number]], [1]!NonNurse[Hrs_Admin])/SUMIF([1]!NonNurse[CMS Region Number], CMSRegion101718[[#This Row],[CMS Region Number]], [1]!NonNurse[MDScensus])*60</f>
        <v>5.3785864170493394</v>
      </c>
      <c r="J9" s="23">
        <f>RANK(CMSRegion101718[[#This Row],[Total Admin MPRD]],CMSRegion101718[Total Admin MPRD])</f>
        <v>1</v>
      </c>
      <c r="K9" s="22">
        <f>SUMIF([1]!NonNurse[CMS Region Number], CMSRegion101718[[#This Row],[CMS Region Number]], [1]!NonNurse[Hrs_MedDir])/SUMIF([1]!NonNurse[CMS Region Number], CMSRegion101718[[#This Row],[CMS Region Number]], [1]!NonNurse[MDScensus])*60</f>
        <v>0.21061352514943726</v>
      </c>
      <c r="L9" s="23">
        <f>RANK(CMSRegion101718[[#This Row],[Total MedDir MPRD]],CMSRegion101718[Total MedDir MPRD])</f>
        <v>10</v>
      </c>
      <c r="M9"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5.6407732825642061</v>
      </c>
      <c r="N9" s="23">
        <f>RANK(CMSRegion101718[[#This Row],[Total Social Work MPRD]],CMSRegion101718[Total Social Work MPRD])</f>
        <v>4</v>
      </c>
      <c r="O9"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5.8624751969205597</v>
      </c>
      <c r="P9" s="23">
        <f>RANK(CMSRegion101718[[#This Row],[Total OT MPRD]],CMSRegion101718[Total OT MPRD])</f>
        <v>10</v>
      </c>
      <c r="Q9"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6.7358769621070058</v>
      </c>
      <c r="R9" s="23">
        <f>RANK(CMSRegion101718[[#This Row],[Total PT MPRD]],CMSRegion101718[Total PT MPRD])</f>
        <v>10</v>
      </c>
      <c r="S9"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8.5158495121475184</v>
      </c>
      <c r="T9" s="23">
        <f>RANK(CMSRegion101718[[#This Row],[Total Activities MPRD]], CMSRegion101718[Total Activities MPRD])</f>
        <v>8</v>
      </c>
      <c r="V9" s="21" t="s">
        <v>292</v>
      </c>
      <c r="W9" s="23">
        <f>SUMIF([1]!NonNurse[STATE], State112019[[#This Row],[State]], [1]!NonNurse[MDScensus])</f>
        <v>19691.155555555499</v>
      </c>
      <c r="X9" s="23">
        <f>COUNTIF([1]!NonNurse[STATE], State112019[[#This Row],[State]])</f>
        <v>195</v>
      </c>
      <c r="Y9" s="22">
        <f>SUMIF([1]!NonNurse[STATE], State112019[[#This Row],[State]], [1]!NonNurse[Hrs_Admin])/SUMIF([1]!NonNurse[STATE], State112019[[#This Row],[State]], [1]!NonNurse[MDScensus])*60</f>
        <v>3.0821905378839065</v>
      </c>
      <c r="Z9" s="23">
        <f>RANK(State112019[[#This Row],[Total Admin MPRD]],State112019[Total Admin MPRD])</f>
        <v>48</v>
      </c>
      <c r="AA9" s="22">
        <f>SUMIF([1]!NonNurse[STATE], State112019[[#This Row],[State]], [1]!NonNurse[Hrs_MedDir])/SUMIF([1]!NonNurse[STATE], State112019[[#This Row],[State]], [1]!NonNurse[MDScensus])*60</f>
        <v>0.3418817472480602</v>
      </c>
      <c r="AB9" s="23">
        <f>RANK(State112019[[#This Row],[Total MedDir MPRD]],State112019[Total MedDir MPRD])</f>
        <v>13</v>
      </c>
      <c r="AC9" s="22">
        <f>(SUMIF([1]!NonNurse[STATE], State112019[[#This Row],[State]], [1]!NonNurse[Hrs_QualSocWrk]) + SUMIF([1]!NonNurse[STATE], State112019[[#This Row],[State]], [1]!NonNurse[Hrs_OthSocWrk])) / SUMIF([1]!NonNurse[STATE], State112019[[#This Row],[State]], [1]!NonNurse[MDScensus]) * 60</f>
        <v>5.6024777057268844</v>
      </c>
      <c r="AD9" s="23">
        <f>RANK(State112019[[#This Row],[Total Social Work MPRD]],State112019[Total Social Work MPRD])</f>
        <v>23</v>
      </c>
      <c r="AE9" s="22">
        <f>(SUMIF([1]!NonNurse[STATE], State112019[[#This Row],[State]], [1]!NonNurse[Hrs_OT]) + SUMIF([1]!NonNurse[STATE], State112019[[#This Row],[State]], [1]!NonNurse[Hrs_OTasst]) + SUMIF([1]!NonNurse[STATE], State112019[[#This Row],[State]], [1]!NonNurse[Hrs_OTaide])) / SUMIF([1]!NonNurse[STATE], State112019[[#This Row],[State]], [1]!NonNurse[MDScensus]) * 60</f>
        <v>8.6232548848778237</v>
      </c>
      <c r="AF9" s="23">
        <f>RANK(State112019[[#This Row],[Total OT MPRD]],State112019[Total OT MPRD])</f>
        <v>18</v>
      </c>
      <c r="AG9" s="22">
        <f>(SUMIF([1]!NonNurse[STATE], State112019[[#This Row],[State]], [1]!NonNurse[Hrs_PT]) + SUMIF([1]!NonNurse[STATE], State112019[[#This Row],[State]], [1]!NonNurse[Hrs_PTasst]) + SUMIF([1]!NonNurse[STATE], State112019[[#This Row],[State]], [1]!NonNurse[Hrs_PTaide])) / SUMIF([1]!NonNurse[STATE], State112019[[#This Row],[State]], [1]!NonNurse[MDScensus]) * 60</f>
        <v>9.076137058713341</v>
      </c>
      <c r="AH9" s="23">
        <f>RANK(State112019[[#This Row],[Total PT MPRD]],State112019[Total PT MPRD])</f>
        <v>26</v>
      </c>
      <c r="AI9" s="22">
        <f>(SUMIF([1]!NonNurse[STATE], State112019[[#This Row],[State]], [1]!NonNurse[Hrs_QualActvProf]) + SUMIF([1]!NonNurse[STATE], State112019[[#This Row],[State]], [1]!NonNurse[Hrs_OthActv])) / SUMIF([1]!NonNurse[STATE], State112019[[#This Row],[State]], [1]!NonNurse[MDScensus]) * 60</f>
        <v>6.4769237627270977</v>
      </c>
      <c r="AJ9" s="20">
        <f>RANK(State112019[[#This Row],[Total Activities MPRD]], State112019[Total Activities MPRD])</f>
        <v>45</v>
      </c>
      <c r="AL9" s="23" t="s">
        <v>291</v>
      </c>
      <c r="AM9" s="23">
        <f>SUM([1]!NonNurse[Hrs_SpcLangPath])</f>
        <v>50878.922333333488</v>
      </c>
      <c r="AN9" s="22">
        <f>Category122120[[#This Row],[US Total Hours]]/SUM([1]!NonNurse[MDScensus])*60</f>
        <v>2.4677679037545879</v>
      </c>
      <c r="AO9" s="34">
        <f>COUNTIF([1]!NonNurse[Hrs_SpcLangPath], 0)</f>
        <v>1371</v>
      </c>
      <c r="AP9" s="31"/>
      <c r="AQ9" s="31"/>
      <c r="AR9" s="31"/>
      <c r="AS9" s="31"/>
    </row>
    <row r="10" spans="2:45" s="9" customFormat="1" ht="15" customHeight="1" x14ac:dyDescent="0.2">
      <c r="B10" s="38" t="s">
        <v>290</v>
      </c>
      <c r="C10" s="37">
        <f>COUNTA([1]!NonNurse[PROVNAME])</f>
        <v>14551</v>
      </c>
      <c r="D10" s="37"/>
      <c r="F10" s="9">
        <v>8</v>
      </c>
      <c r="G10" s="23">
        <f>SUMIF([1]!NonNurse[CMS Region Number], CMSRegion101718[[#This Row],[CMS Region Number]], [1]!NonNurse[MDScensus])</f>
        <v>34990.788888888856</v>
      </c>
      <c r="H10" s="23">
        <f>COUNTIF([1]!NonNurse[CMS Region Number], CMSRegion101718[[#This Row],[CMS Region Number]])</f>
        <v>559</v>
      </c>
      <c r="I10" s="22">
        <f>SUMIF([1]!NonNurse[CMS Region Number], CMSRegion101718[[#This Row],[CMS Region Number]], [1]!NonNurse[Hrs_Admin])/SUMIF([1]!NonNurse[CMS Region Number], CMSRegion101718[[#This Row],[CMS Region Number]], [1]!NonNurse[MDScensus])*60</f>
        <v>4.9443332229339019</v>
      </c>
      <c r="J10" s="23">
        <f>RANK(CMSRegion101718[[#This Row],[Total Admin MPRD]],CMSRegion101718[Total Admin MPRD])</f>
        <v>3</v>
      </c>
      <c r="K10" s="22">
        <f>SUMIF([1]!NonNurse[CMS Region Number], CMSRegion101718[[#This Row],[CMS Region Number]], [1]!NonNurse[Hrs_MedDir])/SUMIF([1]!NonNurse[CMS Region Number], CMSRegion101718[[#This Row],[CMS Region Number]], [1]!NonNurse[MDScensus])*60</f>
        <v>0.22683493528931917</v>
      </c>
      <c r="L10" s="23">
        <f>RANK(CMSRegion101718[[#This Row],[Total MedDir MPRD]],CMSRegion101718[Total MedDir MPRD])</f>
        <v>7</v>
      </c>
      <c r="M10"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8.0627727741681809</v>
      </c>
      <c r="N10" s="23">
        <f>RANK(CMSRegion101718[[#This Row],[Total Social Work MPRD]],CMSRegion101718[Total Social Work MPRD])</f>
        <v>2</v>
      </c>
      <c r="O10"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7.5491082573794772</v>
      </c>
      <c r="P10" s="23">
        <f>RANK(CMSRegion101718[[#This Row],[Total OT MPRD]],CMSRegion101718[Total OT MPRD])</f>
        <v>9</v>
      </c>
      <c r="Q10"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9.2441360599344939</v>
      </c>
      <c r="R10" s="23">
        <f>RANK(CMSRegion101718[[#This Row],[Total PT MPRD]],CMSRegion101718[Total PT MPRD])</f>
        <v>7</v>
      </c>
      <c r="S10"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11.944795566833291</v>
      </c>
      <c r="T10" s="23">
        <f>RANK(CMSRegion101718[[#This Row],[Total Activities MPRD]], CMSRegion101718[Total Activities MPRD])</f>
        <v>2</v>
      </c>
      <c r="V10" s="21" t="s">
        <v>289</v>
      </c>
      <c r="W10" s="23">
        <f>SUMIF([1]!NonNurse[STATE], State112019[[#This Row],[State]], [1]!NonNurse[MDScensus])</f>
        <v>2051.5999999999949</v>
      </c>
      <c r="X10" s="23">
        <f>COUNTIF([1]!NonNurse[STATE], State112019[[#This Row],[State]])</f>
        <v>17</v>
      </c>
      <c r="Y10" s="22">
        <f>SUMIF([1]!NonNurse[STATE], State112019[[#This Row],[State]], [1]!NonNurse[Hrs_Admin])/SUMIF([1]!NonNurse[STATE], State112019[[#This Row],[State]], [1]!NonNurse[MDScensus])*60</f>
        <v>2.6888282316241021</v>
      </c>
      <c r="Z10" s="23">
        <f>RANK(State112019[[#This Row],[Total Admin MPRD]],State112019[Total Admin MPRD])</f>
        <v>51</v>
      </c>
      <c r="AA10" s="22">
        <f>SUMIF([1]!NonNurse[STATE], State112019[[#This Row],[State]], [1]!NonNurse[Hrs_MedDir])/SUMIF([1]!NonNurse[STATE], State112019[[#This Row],[State]], [1]!NonNurse[MDScensus])*60</f>
        <v>0.21519789432637978</v>
      </c>
      <c r="AB10" s="23">
        <f>RANK(State112019[[#This Row],[Total MedDir MPRD]],State112019[Total MedDir MPRD])</f>
        <v>40</v>
      </c>
      <c r="AC10" s="22">
        <f>(SUMIF([1]!NonNurse[STATE], State112019[[#This Row],[State]], [1]!NonNurse[Hrs_QualSocWrk]) + SUMIF([1]!NonNurse[STATE], State112019[[#This Row],[State]], [1]!NonNurse[Hrs_OthSocWrk])) / SUMIF([1]!NonNurse[STATE], State112019[[#This Row],[State]], [1]!NonNurse[MDScensus]) * 60</f>
        <v>4.0908429193475007</v>
      </c>
      <c r="AD10" s="23">
        <f>RANK(State112019[[#This Row],[Total Social Work MPRD]],State112019[Total Social Work MPRD])</f>
        <v>48</v>
      </c>
      <c r="AE10" s="22">
        <f>(SUMIF([1]!NonNurse[STATE], State112019[[#This Row],[State]], [1]!NonNurse[Hrs_OT]) + SUMIF([1]!NonNurse[STATE], State112019[[#This Row],[State]], [1]!NonNurse[Hrs_OTasst]) + SUMIF([1]!NonNurse[STATE], State112019[[#This Row],[State]], [1]!NonNurse[Hrs_OTaide])) / SUMIF([1]!NonNurse[STATE], State112019[[#This Row],[State]], [1]!NonNurse[MDScensus]) * 60</f>
        <v>7.5153018782088772</v>
      </c>
      <c r="AF10" s="23">
        <f>RANK(State112019[[#This Row],[Total OT MPRD]],State112019[Total OT MPRD])</f>
        <v>32</v>
      </c>
      <c r="AG10" s="22">
        <f>(SUMIF([1]!NonNurse[STATE], State112019[[#This Row],[State]], [1]!NonNurse[Hrs_PT]) + SUMIF([1]!NonNurse[STATE], State112019[[#This Row],[State]], [1]!NonNurse[Hrs_PTasst]) + SUMIF([1]!NonNurse[STATE], State112019[[#This Row],[State]], [1]!NonNurse[Hrs_PTaide])) / SUMIF([1]!NonNurse[STATE], State112019[[#This Row],[State]], [1]!NonNurse[MDScensus]) * 60</f>
        <v>7.0725872489764106</v>
      </c>
      <c r="AH10" s="23">
        <f>RANK(State112019[[#This Row],[Total PT MPRD]],State112019[Total PT MPRD])</f>
        <v>41</v>
      </c>
      <c r="AI10" s="22">
        <f>(SUMIF([1]!NonNurse[STATE], State112019[[#This Row],[State]], [1]!NonNurse[Hrs_QualActvProf]) + SUMIF([1]!NonNurse[STATE], State112019[[#This Row],[State]], [1]!NonNurse[Hrs_OthActv])) / SUMIF([1]!NonNurse[STATE], State112019[[#This Row],[State]], [1]!NonNurse[MDScensus]) * 60</f>
        <v>7.3755962825762085</v>
      </c>
      <c r="AJ10" s="20">
        <f>RANK(State112019[[#This Row],[Total Activities MPRD]], State112019[Total Activities MPRD])</f>
        <v>40</v>
      </c>
      <c r="AL10" s="29" t="s">
        <v>187</v>
      </c>
      <c r="AM10" s="26">
        <f>SUM([1]!NonNurse[Hrs_QualSocWrk],[1]!NonNurse[Hrs_OthSocWrk])</f>
        <v>111220.87366666659</v>
      </c>
      <c r="AN10" s="27">
        <f>Category122120[[#This Row],[US Total Hours]]/SUM([1]!NonNurse[MDScensus])*60</f>
        <v>5.3945187844972402</v>
      </c>
      <c r="AO10" s="39">
        <f>COUNTIF([1]!NonNurse[MPRD: Total Social Work], 0)</f>
        <v>1341</v>
      </c>
      <c r="AP10" s="31"/>
      <c r="AQ10" s="31"/>
      <c r="AR10" s="31"/>
      <c r="AS10" s="31"/>
    </row>
    <row r="11" spans="2:45" s="9" customFormat="1" ht="15" customHeight="1" x14ac:dyDescent="0.2">
      <c r="B11" s="38" t="s">
        <v>288</v>
      </c>
      <c r="C11" s="37">
        <f>SUM([1]!NonNurse[MDScensus])</f>
        <v>1237043.1333333342</v>
      </c>
      <c r="D11" s="37"/>
      <c r="F11" s="9">
        <v>9</v>
      </c>
      <c r="G11" s="23">
        <f>SUMIF([1]!NonNurse[CMS Region Number], CMSRegion101718[[#This Row],[CMS Region Number]], [1]!NonNurse[MDScensus])</f>
        <v>121838.18888888875</v>
      </c>
      <c r="H11" s="23">
        <f>COUNTIF([1]!NonNurse[CMS Region Number], CMSRegion101718[[#This Row],[CMS Region Number]])</f>
        <v>1390</v>
      </c>
      <c r="I11" s="22">
        <f>SUMIF([1]!NonNurse[CMS Region Number], CMSRegion101718[[#This Row],[CMS Region Number]], [1]!NonNurse[Hrs_Admin])/SUMIF([1]!NonNurse[CMS Region Number], CMSRegion101718[[#This Row],[CMS Region Number]], [1]!NonNurse[MDScensus])*60</f>
        <v>3.4286662537936348</v>
      </c>
      <c r="J11" s="23">
        <f>RANK(CMSRegion101718[[#This Row],[Total Admin MPRD]],CMSRegion101718[Total Admin MPRD])</f>
        <v>8</v>
      </c>
      <c r="K11" s="22">
        <f>SUMIF([1]!NonNurse[CMS Region Number], CMSRegion101718[[#This Row],[CMS Region Number]], [1]!NonNurse[Hrs_MedDir])/SUMIF([1]!NonNurse[CMS Region Number], CMSRegion101718[[#This Row],[CMS Region Number]], [1]!NonNurse[MDScensus])*60</f>
        <v>0.2284339055525095</v>
      </c>
      <c r="L11" s="23">
        <f>RANK(CMSRegion101718[[#This Row],[Total MedDir MPRD]],CMSRegion101718[Total MedDir MPRD])</f>
        <v>6</v>
      </c>
      <c r="M11"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7.1314153188787559</v>
      </c>
      <c r="N11" s="23">
        <f>RANK(CMSRegion101718[[#This Row],[Total Social Work MPRD]],CMSRegion101718[Total Social Work MPRD])</f>
        <v>3</v>
      </c>
      <c r="O11"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10.429478679235476</v>
      </c>
      <c r="P11" s="23">
        <f>RANK(CMSRegion101718[[#This Row],[Total OT MPRD]],CMSRegion101718[Total OT MPRD])</f>
        <v>1</v>
      </c>
      <c r="Q11"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12.237095010440518</v>
      </c>
      <c r="R11" s="23">
        <f>RANK(CMSRegion101718[[#This Row],[Total PT MPRD]],CMSRegion101718[Total PT MPRD])</f>
        <v>1</v>
      </c>
      <c r="S11"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11.2088743750021</v>
      </c>
      <c r="T11" s="23">
        <f>RANK(CMSRegion101718[[#This Row],[Total Activities MPRD]], CMSRegion101718[Total Activities MPRD])</f>
        <v>3</v>
      </c>
      <c r="V11" s="21" t="s">
        <v>287</v>
      </c>
      <c r="W11" s="23">
        <f>SUMIF([1]!NonNurse[STATE], State112019[[#This Row],[State]], [1]!NonNurse[MDScensus])</f>
        <v>3844.0111111111032</v>
      </c>
      <c r="X11" s="23">
        <f>COUNTIF([1]!NonNurse[STATE], State112019[[#This Row],[State]])</f>
        <v>43</v>
      </c>
      <c r="Y11" s="22">
        <f>SUMIF([1]!NonNurse[STATE], State112019[[#This Row],[State]], [1]!NonNurse[Hrs_Admin])/SUMIF([1]!NonNurse[STATE], State112019[[#This Row],[State]], [1]!NonNurse[MDScensus])*60</f>
        <v>3.3380219157650739</v>
      </c>
      <c r="Z11" s="23">
        <f>RANK(State112019[[#This Row],[Total Admin MPRD]],State112019[Total Admin MPRD])</f>
        <v>43</v>
      </c>
      <c r="AA11" s="22">
        <f>SUMIF([1]!NonNurse[STATE], State112019[[#This Row],[State]], [1]!NonNurse[Hrs_MedDir])/SUMIF([1]!NonNurse[STATE], State112019[[#This Row],[State]], [1]!NonNurse[MDScensus])*60</f>
        <v>0.18290790002341326</v>
      </c>
      <c r="AB11" s="23">
        <f>RANK(State112019[[#This Row],[Total MedDir MPRD]],State112019[Total MedDir MPRD])</f>
        <v>47</v>
      </c>
      <c r="AC11" s="22">
        <f>(SUMIF([1]!NonNurse[STATE], State112019[[#This Row],[State]], [1]!NonNurse[Hrs_QualSocWrk]) + SUMIF([1]!NonNurse[STATE], State112019[[#This Row],[State]], [1]!NonNurse[Hrs_OthSocWrk])) / SUMIF([1]!NonNurse[STATE], State112019[[#This Row],[State]], [1]!NonNurse[MDScensus]) * 60</f>
        <v>4.4085078953986168</v>
      </c>
      <c r="AD11" s="23">
        <f>RANK(State112019[[#This Row],[Total Social Work MPRD]],State112019[Total Social Work MPRD])</f>
        <v>45</v>
      </c>
      <c r="AE11" s="22">
        <f>(SUMIF([1]!NonNurse[STATE], State112019[[#This Row],[State]], [1]!NonNurse[Hrs_OT]) + SUMIF([1]!NonNurse[STATE], State112019[[#This Row],[State]], [1]!NonNurse[Hrs_OTasst]) + SUMIF([1]!NonNurse[STATE], State112019[[#This Row],[State]], [1]!NonNurse[Hrs_OTaide])) / SUMIF([1]!NonNurse[STATE], State112019[[#This Row],[State]], [1]!NonNurse[MDScensus]) * 60</f>
        <v>10.204661797138989</v>
      </c>
      <c r="AF11" s="23">
        <f>RANK(State112019[[#This Row],[Total OT MPRD]],State112019[Total OT MPRD])</f>
        <v>9</v>
      </c>
      <c r="AG11" s="22">
        <f>(SUMIF([1]!NonNurse[STATE], State112019[[#This Row],[State]], [1]!NonNurse[Hrs_PT]) + SUMIF([1]!NonNurse[STATE], State112019[[#This Row],[State]], [1]!NonNurse[Hrs_PTasst]) + SUMIF([1]!NonNurse[STATE], State112019[[#This Row],[State]], [1]!NonNurse[Hrs_PTaide])) / SUMIF([1]!NonNurse[STATE], State112019[[#This Row],[State]], [1]!NonNurse[MDScensus]) * 60</f>
        <v>10.381518726099186</v>
      </c>
      <c r="AH11" s="23">
        <f>RANK(State112019[[#This Row],[Total PT MPRD]],State112019[Total PT MPRD])</f>
        <v>14</v>
      </c>
      <c r="AI11" s="22">
        <f>(SUMIF([1]!NonNurse[STATE], State112019[[#This Row],[State]], [1]!NonNurse[Hrs_QualActvProf]) + SUMIF([1]!NonNurse[STATE], State112019[[#This Row],[State]], [1]!NonNurse[Hrs_OthActv])) / SUMIF([1]!NonNurse[STATE], State112019[[#This Row],[State]], [1]!NonNurse[MDScensus]) * 60</f>
        <v>10.740825700006651</v>
      </c>
      <c r="AJ11" s="20">
        <f>RANK(State112019[[#This Row],[Total Activities MPRD]], State112019[Total Activities MPRD])</f>
        <v>23</v>
      </c>
      <c r="AL11" s="23" t="s">
        <v>286</v>
      </c>
      <c r="AM11" s="23">
        <f>SUM([1]!NonNurse[Hrs_QualSocWrk])</f>
        <v>63655.556777777194</v>
      </c>
      <c r="AN11" s="22">
        <f>Category122120[[#This Row],[US Total Hours]]/SUM([1]!NonNurse[MDScensus])*60</f>
        <v>3.0874698737262802</v>
      </c>
      <c r="AO11" s="34">
        <f>COUNTIF([1]!NonNurse[Hrs_QualSocWrk], 0)</f>
        <v>4548</v>
      </c>
      <c r="AP11" s="31"/>
      <c r="AQ11" s="31"/>
      <c r="AR11" s="31"/>
      <c r="AS11" s="31"/>
    </row>
    <row r="12" spans="2:45" s="9" customFormat="1" ht="15" customHeight="1" x14ac:dyDescent="0.2">
      <c r="B12" s="36" t="s">
        <v>285</v>
      </c>
      <c r="C12" s="35">
        <f>AVERAGE([1]!NonNurse[MDScensus])</f>
        <v>85.014303713376009</v>
      </c>
      <c r="D12" s="35"/>
      <c r="F12" s="9">
        <v>10</v>
      </c>
      <c r="G12" s="23">
        <f>SUMIF([1]!NonNurse[CMS Region Number], CMSRegion101718[[#This Row],[CMS Region Number]], [1]!NonNurse[MDScensus])</f>
        <v>25907.111111111029</v>
      </c>
      <c r="H12" s="23">
        <f>COUNTIF([1]!NonNurse[CMS Region Number], CMSRegion101718[[#This Row],[CMS Region Number]])</f>
        <v>413</v>
      </c>
      <c r="I12" s="22">
        <f>SUMIF([1]!NonNurse[CMS Region Number], CMSRegion101718[[#This Row],[CMS Region Number]], [1]!NonNurse[Hrs_Admin])/SUMIF([1]!NonNurse[CMS Region Number], CMSRegion101718[[#This Row],[CMS Region Number]], [1]!NonNurse[MDScensus])*60</f>
        <v>5.2136169391501337</v>
      </c>
      <c r="J12" s="23">
        <f>RANK(CMSRegion101718[[#This Row],[Total Admin MPRD]],CMSRegion101718[Total Admin MPRD])</f>
        <v>2</v>
      </c>
      <c r="K12" s="22">
        <f>SUMIF([1]!NonNurse[CMS Region Number], CMSRegion101718[[#This Row],[CMS Region Number]], [1]!NonNurse[Hrs_MedDir])/SUMIF([1]!NonNurse[CMS Region Number], CMSRegion101718[[#This Row],[CMS Region Number]], [1]!NonNurse[MDScensus])*60</f>
        <v>0.40113773995985691</v>
      </c>
      <c r="L12" s="23">
        <f>RANK(CMSRegion101718[[#This Row],[Total MedDir MPRD]],CMSRegion101718[Total MedDir MPRD])</f>
        <v>1</v>
      </c>
      <c r="M12" s="22">
        <f>(SUMIF([1]!NonNurse[CMS Region Number], CMSRegion101718[[#This Row],[CMS Region Number]], [1]!NonNurse[Hrs_QualSocWrk]) + SUMIF([1]!NonNurse[CMS Region Number], CMSRegion101718[[#This Row],[CMS Region Number]], [1]!NonNurse[Hrs_OthSocWrk])) / SUMIF([1]!NonNurse[CMS Region Number], CMSRegion101718[[#This Row],[CMS Region Number]], [1]!NonNurse[MDScensus]) * 60</f>
        <v>8.503714123964258</v>
      </c>
      <c r="N12" s="23">
        <f>RANK(CMSRegion101718[[#This Row],[Total Social Work MPRD]],CMSRegion101718[Total Social Work MPRD])</f>
        <v>1</v>
      </c>
      <c r="O12" s="22">
        <f>(SUMIF([1]!NonNurse[CMS Region Number], CMSRegion101718[[#This Row],[CMS Region Number]], [1]!NonNurse[Hrs_OT]) + SUMIF([1]!NonNurse[CMS Region Number], CMSRegion101718[[#This Row],[CMS Region Number]], [1]!NonNurse[Hrs_OTasst]) + SUMIF([1]!NonNurse[CMS Region Number], CMSRegion101718[[#This Row],[CMS Region Number]], [1]!NonNurse[Hrs_OTaide])) / SUMIF([1]!NonNurse[CMS Region Number], CMSRegion101718[[#This Row],[CMS Region Number]], [1]!NonNurse[MDScensus]) * 60</f>
        <v>8.284140948002273</v>
      </c>
      <c r="P12" s="23">
        <f>RANK(CMSRegion101718[[#This Row],[Total OT MPRD]],CMSRegion101718[Total OT MPRD])</f>
        <v>6</v>
      </c>
      <c r="Q12" s="22">
        <f>(SUMIF([1]!NonNurse[CMS Region Number], CMSRegion101718[[#This Row],[CMS Region Number]], [1]!NonNurse[Hrs_PT]) + SUMIF([1]!NonNurse[CMS Region Number], CMSRegion101718[[#This Row],[CMS Region Number]], [1]!NonNurse[Hrs_PTasst]) + SUMIF([1]!NonNurse[CMS Region Number], CMSRegion101718[[#This Row],[CMS Region Number]], [1]!NonNurse[Hrs_PTaide])) / SUMIF([1]!NonNurse[CMS Region Number], CMSRegion101718[[#This Row],[CMS Region Number]], [1]!NonNurse[MDScensus]) * 60</f>
        <v>10.841277212605741</v>
      </c>
      <c r="R12" s="23">
        <f>RANK(CMSRegion101718[[#This Row],[Total PT MPRD]],CMSRegion101718[Total PT MPRD])</f>
        <v>2</v>
      </c>
      <c r="S12" s="22">
        <f>(SUMIF([1]!NonNurse[CMS Region Number], CMSRegion101718[[#This Row],[CMS Region Number]], [1]!NonNurse[Hrs_QualActvProf]) + SUMIF([1]!NonNurse[CMS Region Number], CMSRegion101718[[#This Row],[CMS Region Number]], [1]!NonNurse[Hrs_OthActv])) / SUMIF([1]!NonNurse[CMS Region Number], CMSRegion101718[[#This Row],[CMS Region Number]], [1]!NonNurse[MDScensus]) * 60</f>
        <v>9.8602327975159252</v>
      </c>
      <c r="T12" s="23">
        <f>RANK(CMSRegion101718[[#This Row],[Total Activities MPRD]], CMSRegion101718[Total Activities MPRD])</f>
        <v>7</v>
      </c>
      <c r="V12" s="21" t="s">
        <v>284</v>
      </c>
      <c r="W12" s="23">
        <f>SUMIF([1]!NonNurse[STATE], State112019[[#This Row],[State]], [1]!NonNurse[MDScensus])</f>
        <v>74657.033333333136</v>
      </c>
      <c r="X12" s="23">
        <f>COUNTIF([1]!NonNurse[STATE], State112019[[#This Row],[State]])</f>
        <v>686</v>
      </c>
      <c r="Y12" s="22">
        <f>SUMIF([1]!NonNurse[STATE], State112019[[#This Row],[State]], [1]!NonNurse[Hrs_Admin])/SUMIF([1]!NonNurse[STATE], State112019[[#This Row],[State]], [1]!NonNurse[MDScensus])*60</f>
        <v>3.0212122010384399</v>
      </c>
      <c r="Z12" s="23">
        <f>RANK(State112019[[#This Row],[Total Admin MPRD]],State112019[Total Admin MPRD])</f>
        <v>49</v>
      </c>
      <c r="AA12" s="22">
        <f>SUMIF([1]!NonNurse[STATE], State112019[[#This Row],[State]], [1]!NonNurse[Hrs_MedDir])/SUMIF([1]!NonNurse[STATE], State112019[[#This Row],[State]], [1]!NonNurse[MDScensus])*60</f>
        <v>0.20284143802481699</v>
      </c>
      <c r="AB12" s="23">
        <f>RANK(State112019[[#This Row],[Total MedDir MPRD]],State112019[Total MedDir MPRD])</f>
        <v>42</v>
      </c>
      <c r="AC12" s="22">
        <f>(SUMIF([1]!NonNurse[STATE], State112019[[#This Row],[State]], [1]!NonNurse[Hrs_QualSocWrk]) + SUMIF([1]!NonNurse[STATE], State112019[[#This Row],[State]], [1]!NonNurse[Hrs_OthSocWrk])) / SUMIF([1]!NonNurse[STATE], State112019[[#This Row],[State]], [1]!NonNurse[MDScensus]) * 60</f>
        <v>5.3324078865532254</v>
      </c>
      <c r="AD12" s="23">
        <f>RANK(State112019[[#This Row],[Total Social Work MPRD]],State112019[Total Social Work MPRD])</f>
        <v>29</v>
      </c>
      <c r="AE12" s="22">
        <f>(SUMIF([1]!NonNurse[STATE], State112019[[#This Row],[State]], [1]!NonNurse[Hrs_OT]) + SUMIF([1]!NonNurse[STATE], State112019[[#This Row],[State]], [1]!NonNurse[Hrs_OTasst]) + SUMIF([1]!NonNurse[STATE], State112019[[#This Row],[State]], [1]!NonNurse[Hrs_OTaide])) / SUMIF([1]!NonNurse[STATE], State112019[[#This Row],[State]], [1]!NonNurse[MDScensus]) * 60</f>
        <v>10.602186889290632</v>
      </c>
      <c r="AF12" s="23">
        <f>RANK(State112019[[#This Row],[Total OT MPRD]],State112019[Total OT MPRD])</f>
        <v>6</v>
      </c>
      <c r="AG12" s="22">
        <f>(SUMIF([1]!NonNurse[STATE], State112019[[#This Row],[State]], [1]!NonNurse[Hrs_PT]) + SUMIF([1]!NonNurse[STATE], State112019[[#This Row],[State]], [1]!NonNurse[Hrs_PTasst]) + SUMIF([1]!NonNurse[STATE], State112019[[#This Row],[State]], [1]!NonNurse[Hrs_PTaide])) / SUMIF([1]!NonNurse[STATE], State112019[[#This Row],[State]], [1]!NonNurse[MDScensus]) * 60</f>
        <v>12.117669020690624</v>
      </c>
      <c r="AH12" s="23">
        <f>RANK(State112019[[#This Row],[Total PT MPRD]],State112019[Total PT MPRD])</f>
        <v>6</v>
      </c>
      <c r="AI12" s="22">
        <f>(SUMIF([1]!NonNurse[STATE], State112019[[#This Row],[State]], [1]!NonNurse[Hrs_QualActvProf]) + SUMIF([1]!NonNurse[STATE], State112019[[#This Row],[State]], [1]!NonNurse[Hrs_OthActv])) / SUMIF([1]!NonNurse[STATE], State112019[[#This Row],[State]], [1]!NonNurse[MDScensus]) * 60</f>
        <v>7.5974066296946416</v>
      </c>
      <c r="AJ12" s="20">
        <f>RANK(State112019[[#This Row],[Total Activities MPRD]], State112019[Total Activities MPRD])</f>
        <v>39</v>
      </c>
      <c r="AL12" s="23" t="s">
        <v>283</v>
      </c>
      <c r="AM12" s="23">
        <f>SUM([1]!NonNurse[Hrs_OthSocWrk])</f>
        <v>47565.316888888919</v>
      </c>
      <c r="AN12" s="22">
        <f>Category122120[[#This Row],[US Total Hours]]/SUM([1]!NonNurse[MDScensus])*60</f>
        <v>2.3070489107709364</v>
      </c>
      <c r="AO12" s="34">
        <f>COUNTIF([1]!NonNurse[Hrs_OthSocWrk], 0)</f>
        <v>8004</v>
      </c>
      <c r="AP12" s="31"/>
      <c r="AQ12" s="31"/>
      <c r="AR12" s="31"/>
      <c r="AS12" s="31"/>
    </row>
    <row r="13" spans="2:45" s="9" customFormat="1" ht="15" customHeight="1" x14ac:dyDescent="0.2">
      <c r="B13" s="33" t="s">
        <v>282</v>
      </c>
      <c r="C13" s="32">
        <f>COUNTIF([1]!NonNurse[Hrs_Admin_fn], 1)</f>
        <v>50</v>
      </c>
      <c r="T13" s="23"/>
      <c r="V13" s="21" t="s">
        <v>281</v>
      </c>
      <c r="W13" s="23">
        <f>SUMIF([1]!NonNurse[STATE], State112019[[#This Row],[State]], [1]!NonNurse[MDScensus])</f>
        <v>30988.577777777689</v>
      </c>
      <c r="X13" s="23">
        <f>COUNTIF([1]!NonNurse[STATE], State112019[[#This Row],[State]])</f>
        <v>350</v>
      </c>
      <c r="Y13" s="22">
        <f>SUMIF([1]!NonNurse[STATE], State112019[[#This Row],[State]], [1]!NonNurse[Hrs_Admin])/SUMIF([1]!NonNurse[STATE], State112019[[#This Row],[State]], [1]!NonNurse[MDScensus])*60</f>
        <v>3.7369384131500825</v>
      </c>
      <c r="Z13" s="23">
        <f>RANK(State112019[[#This Row],[Total Admin MPRD]],State112019[Total Admin MPRD])</f>
        <v>35</v>
      </c>
      <c r="AA13" s="22">
        <f>SUMIF([1]!NonNurse[STATE], State112019[[#This Row],[State]], [1]!NonNurse[Hrs_MedDir])/SUMIF([1]!NonNurse[STATE], State112019[[#This Row],[State]], [1]!NonNurse[MDScensus])*60</f>
        <v>0.18813383569286474</v>
      </c>
      <c r="AB13" s="23">
        <f>RANK(State112019[[#This Row],[Total MedDir MPRD]],State112019[Total MedDir MPRD])</f>
        <v>46</v>
      </c>
      <c r="AC13" s="22">
        <f>(SUMIF([1]!NonNurse[STATE], State112019[[#This Row],[State]], [1]!NonNurse[Hrs_QualSocWrk]) + SUMIF([1]!NonNurse[STATE], State112019[[#This Row],[State]], [1]!NonNurse[Hrs_OthSocWrk])) / SUMIF([1]!NonNurse[STATE], State112019[[#This Row],[State]], [1]!NonNurse[MDScensus]) * 60</f>
        <v>4.2343272718406695</v>
      </c>
      <c r="AD13" s="23">
        <f>RANK(State112019[[#This Row],[Total Social Work MPRD]],State112019[Total Social Work MPRD])</f>
        <v>47</v>
      </c>
      <c r="AE13" s="22">
        <f>(SUMIF([1]!NonNurse[STATE], State112019[[#This Row],[State]], [1]!NonNurse[Hrs_OT]) + SUMIF([1]!NonNurse[STATE], State112019[[#This Row],[State]], [1]!NonNurse[Hrs_OTasst]) + SUMIF([1]!NonNurse[STATE], State112019[[#This Row],[State]], [1]!NonNurse[Hrs_OTaide])) / SUMIF([1]!NonNurse[STATE], State112019[[#This Row],[State]], [1]!NonNurse[MDScensus]) * 60</f>
        <v>6.7866169326906176</v>
      </c>
      <c r="AF13" s="23">
        <f>RANK(State112019[[#This Row],[Total OT MPRD]],State112019[Total OT MPRD])</f>
        <v>40</v>
      </c>
      <c r="AG13" s="22">
        <f>(SUMIF([1]!NonNurse[STATE], State112019[[#This Row],[State]], [1]!NonNurse[Hrs_PT]) + SUMIF([1]!NonNurse[STATE], State112019[[#This Row],[State]], [1]!NonNurse[Hrs_PTasst]) + SUMIF([1]!NonNurse[STATE], State112019[[#This Row],[State]], [1]!NonNurse[Hrs_PTaide])) / SUMIF([1]!NonNurse[STATE], State112019[[#This Row],[State]], [1]!NonNurse[MDScensus]) * 60</f>
        <v>6.6515538341725966</v>
      </c>
      <c r="AH13" s="23">
        <f>RANK(State112019[[#This Row],[Total PT MPRD]],State112019[Total PT MPRD])</f>
        <v>44</v>
      </c>
      <c r="AI13" s="22">
        <f>(SUMIF([1]!NonNurse[STATE], State112019[[#This Row],[State]], [1]!NonNurse[Hrs_QualActvProf]) + SUMIF([1]!NonNurse[STATE], State112019[[#This Row],[State]], [1]!NonNurse[Hrs_OthActv])) / SUMIF([1]!NonNurse[STATE], State112019[[#This Row],[State]], [1]!NonNurse[MDScensus]) * 60</f>
        <v>5.8297665232924585</v>
      </c>
      <c r="AJ13" s="20">
        <f>RANK(State112019[[#This Row],[Total Activities MPRD]], State112019[Total Activities MPRD])</f>
        <v>47</v>
      </c>
      <c r="AL13" s="29" t="s">
        <v>280</v>
      </c>
      <c r="AM13" s="26">
        <f>SUM([1]!NonNurse[Hrs_QualActvProf], [1]!NonNurse[Hrs_OthActv])</f>
        <v>197959.38622222139</v>
      </c>
      <c r="AN13" s="27">
        <f>Category122120[[#This Row],[US Total Hours]]/SUM([1]!NonNurse[MDScensus])*60</f>
        <v>9.601575606606394</v>
      </c>
      <c r="AO13" s="26">
        <f>COUNTIF([1]!NonNurse[MPRD: Combined Activities], 0)</f>
        <v>941</v>
      </c>
      <c r="AP13" s="31"/>
      <c r="AQ13" s="31"/>
      <c r="AR13" s="31"/>
      <c r="AS13" s="31"/>
    </row>
    <row r="14" spans="2:45" s="9" customFormat="1" ht="15" customHeight="1" x14ac:dyDescent="0.2">
      <c r="G14" s="22"/>
      <c r="H14" s="22"/>
      <c r="I14" s="22"/>
      <c r="J14" s="22"/>
      <c r="K14" s="22"/>
      <c r="L14" s="22"/>
      <c r="M14" s="22"/>
      <c r="N14" s="22"/>
      <c r="O14" s="22"/>
      <c r="P14" s="22"/>
      <c r="Q14" s="22"/>
      <c r="R14" s="22"/>
      <c r="T14" s="23"/>
      <c r="V14" s="21" t="s">
        <v>279</v>
      </c>
      <c r="W14" s="23">
        <f>SUMIF([1]!NonNurse[STATE], State112019[[#This Row],[State]], [1]!NonNurse[MDScensus])</f>
        <v>3409.9444444444398</v>
      </c>
      <c r="X14" s="23">
        <f>COUNTIF([1]!NonNurse[STATE], State112019[[#This Row],[State]])</f>
        <v>42</v>
      </c>
      <c r="Y14" s="22">
        <f>SUMIF([1]!NonNurse[STATE], State112019[[#This Row],[State]], [1]!NonNurse[Hrs_Admin])/SUMIF([1]!NonNurse[STATE], State112019[[#This Row],[State]], [1]!NonNurse[MDScensus])*60</f>
        <v>3.6653441730885157</v>
      </c>
      <c r="Z14" s="23">
        <f>RANK(State112019[[#This Row],[Total Admin MPRD]],State112019[Total Admin MPRD])</f>
        <v>36</v>
      </c>
      <c r="AA14" s="22">
        <f>SUMIF([1]!NonNurse[STATE], State112019[[#This Row],[State]], [1]!NonNurse[Hrs_MedDir])/SUMIF([1]!NonNurse[STATE], State112019[[#This Row],[State]], [1]!NonNurse[MDScensus])*60</f>
        <v>0.31185258801870341</v>
      </c>
      <c r="AB14" s="23">
        <f>RANK(State112019[[#This Row],[Total MedDir MPRD]],State112019[Total MedDir MPRD])</f>
        <v>15</v>
      </c>
      <c r="AC14" s="22">
        <f>(SUMIF([1]!NonNurse[STATE], State112019[[#This Row],[State]], [1]!NonNurse[Hrs_QualSocWrk]) + SUMIF([1]!NonNurse[STATE], State112019[[#This Row],[State]], [1]!NonNurse[Hrs_OthSocWrk])) / SUMIF([1]!NonNurse[STATE], State112019[[#This Row],[State]], [1]!NonNurse[MDScensus]) * 60</f>
        <v>5.8265954153700772</v>
      </c>
      <c r="AD14" s="23">
        <f>RANK(State112019[[#This Row],[Total Social Work MPRD]],State112019[Total Social Work MPRD])</f>
        <v>22</v>
      </c>
      <c r="AE14" s="22">
        <f>(SUMIF([1]!NonNurse[STATE], State112019[[#This Row],[State]], [1]!NonNurse[Hrs_OT]) + SUMIF([1]!NonNurse[STATE], State112019[[#This Row],[State]], [1]!NonNurse[Hrs_OTasst]) + SUMIF([1]!NonNurse[STATE], State112019[[#This Row],[State]], [1]!NonNurse[Hrs_OTaide])) / SUMIF([1]!NonNurse[STATE], State112019[[#This Row],[State]], [1]!NonNurse[MDScensus]) * 60</f>
        <v>8.50904380977207</v>
      </c>
      <c r="AF14" s="23">
        <f>RANK(State112019[[#This Row],[Total OT MPRD]],State112019[Total OT MPRD])</f>
        <v>22</v>
      </c>
      <c r="AG14" s="22">
        <f>(SUMIF([1]!NonNurse[STATE], State112019[[#This Row],[State]], [1]!NonNurse[Hrs_PT]) + SUMIF([1]!NonNurse[STATE], State112019[[#This Row],[State]], [1]!NonNurse[Hrs_PTasst]) + SUMIF([1]!NonNurse[STATE], State112019[[#This Row],[State]], [1]!NonNurse[Hrs_PTaide])) / SUMIF([1]!NonNurse[STATE], State112019[[#This Row],[State]], [1]!NonNurse[MDScensus]) * 60</f>
        <v>10.920883689861347</v>
      </c>
      <c r="AH14" s="23">
        <f>RANK(State112019[[#This Row],[Total PT MPRD]],State112019[Total PT MPRD])</f>
        <v>11</v>
      </c>
      <c r="AI14" s="22">
        <f>(SUMIF([1]!NonNurse[STATE], State112019[[#This Row],[State]], [1]!NonNurse[Hrs_QualActvProf]) + SUMIF([1]!NonNurse[STATE], State112019[[#This Row],[State]], [1]!NonNurse[Hrs_OthActv])) / SUMIF([1]!NonNurse[STATE], State112019[[#This Row],[State]], [1]!NonNurse[MDScensus]) * 60</f>
        <v>16.586823506410987</v>
      </c>
      <c r="AJ14" s="20">
        <f>RANK(State112019[[#This Row],[Total Activities MPRD]], State112019[Total Activities MPRD])</f>
        <v>3</v>
      </c>
      <c r="AL14" s="23" t="s">
        <v>278</v>
      </c>
      <c r="AM14" s="23">
        <f>SUM([1]!NonNurse[Hrs_QualActvProf])</f>
        <v>63924.842444443893</v>
      </c>
      <c r="AN14" s="22">
        <f>Category122120[[#This Row],[US Total Hours]]/SUM([1]!NonNurse[MDScensus])*60</f>
        <v>3.1005309704371649</v>
      </c>
      <c r="AO14" s="23">
        <f>COUNTIF([1]!NonNurse[Hrs_QualActvProf], 0)</f>
        <v>3830</v>
      </c>
    </row>
    <row r="15" spans="2:45" s="9" customFormat="1" ht="15" customHeight="1" x14ac:dyDescent="0.2">
      <c r="T15" s="23"/>
      <c r="V15" s="21" t="s">
        <v>277</v>
      </c>
      <c r="W15" s="23">
        <f>SUMIF([1]!NonNurse[STATE], State112019[[#This Row],[State]], [1]!NonNurse[MDScensus])</f>
        <v>20205.111111111084</v>
      </c>
      <c r="X15" s="23">
        <f>COUNTIF([1]!NonNurse[STATE], State112019[[#This Row],[State]])</f>
        <v>393</v>
      </c>
      <c r="Y15" s="22">
        <f>SUMIF([1]!NonNurse[STATE], State112019[[#This Row],[State]], [1]!NonNurse[Hrs_Admin])/SUMIF([1]!NonNurse[STATE], State112019[[#This Row],[State]], [1]!NonNurse[MDScensus])*60</f>
        <v>5.9152920603147692</v>
      </c>
      <c r="Z15" s="23">
        <f>RANK(State112019[[#This Row],[Total Admin MPRD]],State112019[Total Admin MPRD])</f>
        <v>3</v>
      </c>
      <c r="AA15" s="22">
        <f>SUMIF([1]!NonNurse[STATE], State112019[[#This Row],[State]], [1]!NonNurse[Hrs_MedDir])/SUMIF([1]!NonNurse[STATE], State112019[[#This Row],[State]], [1]!NonNurse[MDScensus])*60</f>
        <v>0.23421136566105402</v>
      </c>
      <c r="AB15" s="23">
        <f>RANK(State112019[[#This Row],[Total MedDir MPRD]],State112019[Total MedDir MPRD])</f>
        <v>34</v>
      </c>
      <c r="AC15" s="22">
        <f>(SUMIF([1]!NonNurse[STATE], State112019[[#This Row],[State]], [1]!NonNurse[Hrs_QualSocWrk]) + SUMIF([1]!NonNurse[STATE], State112019[[#This Row],[State]], [1]!NonNurse[Hrs_OthSocWrk])) / SUMIF([1]!NonNurse[STATE], State112019[[#This Row],[State]], [1]!NonNurse[MDScensus]) * 60</f>
        <v>4.9204332237167714</v>
      </c>
      <c r="AD15" s="23">
        <f>RANK(State112019[[#This Row],[Total Social Work MPRD]],State112019[Total Social Work MPRD])</f>
        <v>36</v>
      </c>
      <c r="AE15" s="22">
        <f>(SUMIF([1]!NonNurse[STATE], State112019[[#This Row],[State]], [1]!NonNurse[Hrs_OT]) + SUMIF([1]!NonNurse[STATE], State112019[[#This Row],[State]], [1]!NonNurse[Hrs_OTasst]) + SUMIF([1]!NonNurse[STATE], State112019[[#This Row],[State]], [1]!NonNurse[Hrs_OTaide])) / SUMIF([1]!NonNurse[STATE], State112019[[#This Row],[State]], [1]!NonNurse[MDScensus]) * 60</f>
        <v>5.1706494506340501</v>
      </c>
      <c r="AF15" s="23">
        <f>RANK(State112019[[#This Row],[Total OT MPRD]],State112019[Total OT MPRD])</f>
        <v>49</v>
      </c>
      <c r="AG15" s="22">
        <f>(SUMIF([1]!NonNurse[STATE], State112019[[#This Row],[State]], [1]!NonNurse[Hrs_PT]) + SUMIF([1]!NonNurse[STATE], State112019[[#This Row],[State]], [1]!NonNurse[Hrs_PTasst]) + SUMIF([1]!NonNurse[STATE], State112019[[#This Row],[State]], [1]!NonNurse[Hrs_PTaide])) / SUMIF([1]!NonNurse[STATE], State112019[[#This Row],[State]], [1]!NonNurse[MDScensus]) * 60</f>
        <v>5.9501974197947689</v>
      </c>
      <c r="AH15" s="23">
        <f>RANK(State112019[[#This Row],[Total PT MPRD]],State112019[Total PT MPRD])</f>
        <v>48</v>
      </c>
      <c r="AI15" s="22">
        <f>(SUMIF([1]!NonNurse[STATE], State112019[[#This Row],[State]], [1]!NonNurse[Hrs_QualActvProf]) + SUMIF([1]!NonNurse[STATE], State112019[[#This Row],[State]], [1]!NonNurse[Hrs_OthActv])) / SUMIF([1]!NonNurse[STATE], State112019[[#This Row],[State]], [1]!NonNurse[MDScensus]) * 60</f>
        <v>10.470123731069144</v>
      </c>
      <c r="AJ15" s="20">
        <f>RANK(State112019[[#This Row],[Total Activities MPRD]], State112019[Total Activities MPRD])</f>
        <v>26</v>
      </c>
      <c r="AL15" s="23" t="s">
        <v>276</v>
      </c>
      <c r="AM15" s="30">
        <f>SUM([1]!NonNurse[Hrs_OthActv])</f>
        <v>134034.54377777805</v>
      </c>
      <c r="AN15" s="22">
        <f>Category122120[[#This Row],[US Total Hours]]/SUM([1]!NonNurse[MDScensus])*60</f>
        <v>6.5010446361692571</v>
      </c>
      <c r="AO15" s="23">
        <f>COUNTIF([1]!NonNurse[Hrs_OthActv], 0)</f>
        <v>3445</v>
      </c>
    </row>
    <row r="16" spans="2:45" s="9" customFormat="1" ht="15" customHeight="1" x14ac:dyDescent="0.2">
      <c r="T16" s="23"/>
      <c r="V16" s="21" t="s">
        <v>275</v>
      </c>
      <c r="W16" s="23">
        <f>SUMIF([1]!NonNurse[STATE], State112019[[#This Row],[State]], [1]!NonNurse[MDScensus])</f>
        <v>4377.1222222222177</v>
      </c>
      <c r="X16" s="23">
        <f>COUNTIF([1]!NonNurse[STATE], State112019[[#This Row],[State]])</f>
        <v>79</v>
      </c>
      <c r="Y16" s="22">
        <f>SUMIF([1]!NonNurse[STATE], State112019[[#This Row],[State]], [1]!NonNurse[Hrs_Admin])/SUMIF([1]!NonNurse[STATE], State112019[[#This Row],[State]], [1]!NonNurse[MDScensus])*60</f>
        <v>5.7870442528195865</v>
      </c>
      <c r="Z16" s="23">
        <f>RANK(State112019[[#This Row],[Total Admin MPRD]],State112019[Total Admin MPRD])</f>
        <v>6</v>
      </c>
      <c r="AA16" s="22">
        <f>SUMIF([1]!NonNurse[STATE], State112019[[#This Row],[State]], [1]!NonNurse[Hrs_MedDir])/SUMIF([1]!NonNurse[STATE], State112019[[#This Row],[State]], [1]!NonNurse[MDScensus])*60</f>
        <v>0.3784434724996889</v>
      </c>
      <c r="AB16" s="23">
        <f>RANK(State112019[[#This Row],[Total MedDir MPRD]],State112019[Total MedDir MPRD])</f>
        <v>8</v>
      </c>
      <c r="AC16" s="22">
        <f>(SUMIF([1]!NonNurse[STATE], State112019[[#This Row],[State]], [1]!NonNurse[Hrs_QualSocWrk]) + SUMIF([1]!NonNurse[STATE], State112019[[#This Row],[State]], [1]!NonNurse[Hrs_OthSocWrk])) / SUMIF([1]!NonNurse[STATE], State112019[[#This Row],[State]], [1]!NonNurse[MDScensus]) * 60</f>
        <v>8.988153555989344</v>
      </c>
      <c r="AD16" s="23">
        <f>RANK(State112019[[#This Row],[Total Social Work MPRD]],State112019[Total Social Work MPRD])</f>
        <v>4</v>
      </c>
      <c r="AE16" s="22">
        <f>(SUMIF([1]!NonNurse[STATE], State112019[[#This Row],[State]], [1]!NonNurse[Hrs_OT]) + SUMIF([1]!NonNurse[STATE], State112019[[#This Row],[State]], [1]!NonNurse[Hrs_OTasst]) + SUMIF([1]!NonNurse[STATE], State112019[[#This Row],[State]], [1]!NonNurse[Hrs_OTaide])) / SUMIF([1]!NonNurse[STATE], State112019[[#This Row],[State]], [1]!NonNurse[MDScensus]) * 60</f>
        <v>9.3907910067751228</v>
      </c>
      <c r="AF16" s="23">
        <f>RANK(State112019[[#This Row],[Total OT MPRD]],State112019[Total OT MPRD])</f>
        <v>11</v>
      </c>
      <c r="AG16" s="22">
        <f>(SUMIF([1]!NonNurse[STATE], State112019[[#This Row],[State]], [1]!NonNurse[Hrs_PT]) + SUMIF([1]!NonNurse[STATE], State112019[[#This Row],[State]], [1]!NonNurse[Hrs_PTasst]) + SUMIF([1]!NonNurse[STATE], State112019[[#This Row],[State]], [1]!NonNurse[Hrs_PTaide])) / SUMIF([1]!NonNurse[STATE], State112019[[#This Row],[State]], [1]!NonNurse[MDScensus]) * 60</f>
        <v>12.885843819252116</v>
      </c>
      <c r="AH16" s="23">
        <f>RANK(State112019[[#This Row],[Total PT MPRD]],State112019[Total PT MPRD])</f>
        <v>4</v>
      </c>
      <c r="AI16" s="22">
        <f>(SUMIF([1]!NonNurse[STATE], State112019[[#This Row],[State]], [1]!NonNurse[Hrs_QualActvProf]) + SUMIF([1]!NonNurse[STATE], State112019[[#This Row],[State]], [1]!NonNurse[Hrs_OthActv])) / SUMIF([1]!NonNurse[STATE], State112019[[#This Row],[State]], [1]!NonNurse[MDScensus]) * 60</f>
        <v>10.080911100900895</v>
      </c>
      <c r="AJ16" s="20">
        <f>RANK(State112019[[#This Row],[Total Activities MPRD]], State112019[Total Activities MPRD])</f>
        <v>28</v>
      </c>
      <c r="AL16" s="29" t="s">
        <v>274</v>
      </c>
      <c r="AM16" s="26">
        <f>SUM([1]!NonNurse[Hrs_OT], [1]!NonNurse[Hrs_OTasst], [1]!NonNurse[Hrs_OTaide])</f>
        <v>175275.8886666664</v>
      </c>
      <c r="AN16" s="27">
        <f>Category122120[[#This Row],[US Total Hours]]/SUM([1]!NonNurse[MDScensus])*60</f>
        <v>8.5013634825021001</v>
      </c>
      <c r="AO16" s="26">
        <f>COUNTIF([1]!NonNurse[MPRD: OT (incl. Assistant &amp; Aide)], 0)</f>
        <v>867</v>
      </c>
    </row>
    <row r="17" spans="20:42" s="9" customFormat="1" ht="15" customHeight="1" x14ac:dyDescent="0.2">
      <c r="T17" s="23"/>
      <c r="V17" s="21" t="s">
        <v>273</v>
      </c>
      <c r="W17" s="23">
        <f>SUMIF([1]!NonNurse[STATE], State112019[[#This Row],[State]], [1]!NonNurse[MDScensus])</f>
        <v>61759.433333333138</v>
      </c>
      <c r="X17" s="23">
        <f>COUNTIF([1]!NonNurse[STATE], State112019[[#This Row],[State]])</f>
        <v>661</v>
      </c>
      <c r="Y17" s="22">
        <f>SUMIF([1]!NonNurse[STATE], State112019[[#This Row],[State]], [1]!NonNurse[Hrs_Admin])/SUMIF([1]!NonNurse[STATE], State112019[[#This Row],[State]], [1]!NonNurse[MDScensus])*60</f>
        <v>3.4912233110947213</v>
      </c>
      <c r="Z17" s="23">
        <f>RANK(State112019[[#This Row],[Total Admin MPRD]],State112019[Total Admin MPRD])</f>
        <v>40</v>
      </c>
      <c r="AA17" s="22">
        <f>SUMIF([1]!NonNurse[STATE], State112019[[#This Row],[State]], [1]!NonNurse[Hrs_MedDir])/SUMIF([1]!NonNurse[STATE], State112019[[#This Row],[State]], [1]!NonNurse[MDScensus])*60</f>
        <v>0.13431416415198158</v>
      </c>
      <c r="AB17" s="23">
        <f>RANK(State112019[[#This Row],[Total MedDir MPRD]],State112019[Total MedDir MPRD])</f>
        <v>50</v>
      </c>
      <c r="AC17" s="22">
        <f>(SUMIF([1]!NonNurse[STATE], State112019[[#This Row],[State]], [1]!NonNurse[Hrs_QualSocWrk]) + SUMIF([1]!NonNurse[STATE], State112019[[#This Row],[State]], [1]!NonNurse[Hrs_OthSocWrk])) / SUMIF([1]!NonNurse[STATE], State112019[[#This Row],[State]], [1]!NonNurse[MDScensus]) * 60</f>
        <v>4.3371433135990642</v>
      </c>
      <c r="AD17" s="23">
        <f>RANK(State112019[[#This Row],[Total Social Work MPRD]],State112019[Total Social Work MPRD])</f>
        <v>46</v>
      </c>
      <c r="AE17" s="22">
        <f>(SUMIF([1]!NonNurse[STATE], State112019[[#This Row],[State]], [1]!NonNurse[Hrs_OT]) + SUMIF([1]!NonNurse[STATE], State112019[[#This Row],[State]], [1]!NonNurse[Hrs_OTasst]) + SUMIF([1]!NonNurse[STATE], State112019[[#This Row],[State]], [1]!NonNurse[Hrs_OTaide])) / SUMIF([1]!NonNurse[STATE], State112019[[#This Row],[State]], [1]!NonNurse[MDScensus]) * 60</f>
        <v>5.798301905835717</v>
      </c>
      <c r="AF17" s="23">
        <f>RANK(State112019[[#This Row],[Total OT MPRD]],State112019[Total OT MPRD])</f>
        <v>44</v>
      </c>
      <c r="AG17" s="22">
        <f>(SUMIF([1]!NonNurse[STATE], State112019[[#This Row],[State]], [1]!NonNurse[Hrs_PT]) + SUMIF([1]!NonNurse[STATE], State112019[[#This Row],[State]], [1]!NonNurse[Hrs_PTasst]) + SUMIF([1]!NonNurse[STATE], State112019[[#This Row],[State]], [1]!NonNurse[Hrs_PTaide])) / SUMIF([1]!NonNurse[STATE], State112019[[#This Row],[State]], [1]!NonNurse[MDScensus]) * 60</f>
        <v>6.7471996450744749</v>
      </c>
      <c r="AH17" s="23">
        <f>RANK(State112019[[#This Row],[Total PT MPRD]],State112019[Total PT MPRD])</f>
        <v>42</v>
      </c>
      <c r="AI17" s="22">
        <f>(SUMIF([1]!NonNurse[STATE], State112019[[#This Row],[State]], [1]!NonNurse[Hrs_QualActvProf]) + SUMIF([1]!NonNurse[STATE], State112019[[#This Row],[State]], [1]!NonNurse[Hrs_OthActv])) / SUMIF([1]!NonNurse[STATE], State112019[[#This Row],[State]], [1]!NonNurse[MDScensus]) * 60</f>
        <v>11.40671810999994</v>
      </c>
      <c r="AJ17" s="20">
        <f>RANK(State112019[[#This Row],[Total Activities MPRD]], State112019[Total Activities MPRD])</f>
        <v>18</v>
      </c>
      <c r="AL17" s="23" t="s">
        <v>208</v>
      </c>
      <c r="AM17" s="23">
        <f>SUM([1]!NonNurse[Hrs_OT])</f>
        <v>81548.265999999843</v>
      </c>
      <c r="AN17" s="22">
        <f>Category122120[[#This Row],[US Total Hours]]/SUM([1]!NonNurse[MDScensus])*60</f>
        <v>3.9553155651214862</v>
      </c>
      <c r="AO17" s="23">
        <f>COUNTIF([1]!NonNurse[Hrs_OT], 0)</f>
        <v>1071</v>
      </c>
    </row>
    <row r="18" spans="20:42" s="9" customFormat="1" ht="15" customHeight="1" x14ac:dyDescent="0.2">
      <c r="T18" s="23"/>
      <c r="V18" s="21" t="s">
        <v>272</v>
      </c>
      <c r="W18" s="23">
        <f>SUMIF([1]!NonNurse[STATE], State112019[[#This Row],[State]], [1]!NonNurse[MDScensus])</f>
        <v>35882.088888888829</v>
      </c>
      <c r="X18" s="23">
        <f>COUNTIF([1]!NonNurse[STATE], State112019[[#This Row],[State]])</f>
        <v>505</v>
      </c>
      <c r="Y18" s="22">
        <f>SUMIF([1]!NonNurse[STATE], State112019[[#This Row],[State]], [1]!NonNurse[Hrs_Admin])/SUMIF([1]!NonNurse[STATE], State112019[[#This Row],[State]], [1]!NonNurse[MDScensus])*60</f>
        <v>4.6499227098137474</v>
      </c>
      <c r="Z18" s="23">
        <f>RANK(State112019[[#This Row],[Total Admin MPRD]],State112019[Total Admin MPRD])</f>
        <v>19</v>
      </c>
      <c r="AA18" s="22">
        <f>SUMIF([1]!NonNurse[STATE], State112019[[#This Row],[State]], [1]!NonNurse[Hrs_MedDir])/SUMIF([1]!NonNurse[STATE], State112019[[#This Row],[State]], [1]!NonNurse[MDScensus])*60</f>
        <v>0.24976175052362887</v>
      </c>
      <c r="AB18" s="23">
        <f>RANK(State112019[[#This Row],[Total MedDir MPRD]],State112019[Total MedDir MPRD])</f>
        <v>28</v>
      </c>
      <c r="AC18" s="22">
        <f>(SUMIF([1]!NonNurse[STATE], State112019[[#This Row],[State]], [1]!NonNurse[Hrs_QualSocWrk]) + SUMIF([1]!NonNurse[STATE], State112019[[#This Row],[State]], [1]!NonNurse[Hrs_OthSocWrk])) / SUMIF([1]!NonNurse[STATE], State112019[[#This Row],[State]], [1]!NonNurse[MDScensus]) * 60</f>
        <v>5.9953328618301684</v>
      </c>
      <c r="AD18" s="23">
        <f>RANK(State112019[[#This Row],[Total Social Work MPRD]],State112019[Total Social Work MPRD])</f>
        <v>20</v>
      </c>
      <c r="AE18" s="22">
        <f>(SUMIF([1]!NonNurse[STATE], State112019[[#This Row],[State]], [1]!NonNurse[Hrs_OT]) + SUMIF([1]!NonNurse[STATE], State112019[[#This Row],[State]], [1]!NonNurse[Hrs_OTasst]) + SUMIF([1]!NonNurse[STATE], State112019[[#This Row],[State]], [1]!NonNurse[Hrs_OTaide])) / SUMIF([1]!NonNurse[STATE], State112019[[#This Row],[State]], [1]!NonNurse[MDScensus]) * 60</f>
        <v>7.9336871258579063</v>
      </c>
      <c r="AF18" s="23">
        <f>RANK(State112019[[#This Row],[Total OT MPRD]],State112019[Total OT MPRD])</f>
        <v>28</v>
      </c>
      <c r="AG18" s="22">
        <f>(SUMIF([1]!NonNurse[STATE], State112019[[#This Row],[State]], [1]!NonNurse[Hrs_PT]) + SUMIF([1]!NonNurse[STATE], State112019[[#This Row],[State]], [1]!NonNurse[Hrs_PTasst]) + SUMIF([1]!NonNurse[STATE], State112019[[#This Row],[State]], [1]!NonNurse[Hrs_PTaide])) / SUMIF([1]!NonNurse[STATE], State112019[[#This Row],[State]], [1]!NonNurse[MDScensus]) * 60</f>
        <v>8.6339624102151831</v>
      </c>
      <c r="AH18" s="23">
        <f>RANK(State112019[[#This Row],[Total PT MPRD]],State112019[Total PT MPRD])</f>
        <v>30</v>
      </c>
      <c r="AI18" s="22">
        <f>(SUMIF([1]!NonNurse[STATE], State112019[[#This Row],[State]], [1]!NonNurse[Hrs_QualActvProf]) + SUMIF([1]!NonNurse[STATE], State112019[[#This Row],[State]], [1]!NonNurse[Hrs_OthActv])) / SUMIF([1]!NonNurse[STATE], State112019[[#This Row],[State]], [1]!NonNurse[MDScensus]) * 60</f>
        <v>14.685118666447018</v>
      </c>
      <c r="AJ18" s="20">
        <f>RANK(State112019[[#This Row],[Total Activities MPRD]], State112019[Total Activities MPRD])</f>
        <v>8</v>
      </c>
      <c r="AL18" s="23" t="s">
        <v>271</v>
      </c>
      <c r="AM18" s="23">
        <f>SUM([1]!NonNurse[Hrs_OTasst])</f>
        <v>90077.995111111042</v>
      </c>
      <c r="AN18" s="22">
        <f>Category122120[[#This Row],[US Total Hours]]/SUM([1]!NonNurse[MDScensus])*60</f>
        <v>4.3690309262727336</v>
      </c>
      <c r="AO18" s="23">
        <f>COUNTIF([1]!NonNurse[Hrs_OTasst], 0)</f>
        <v>2377</v>
      </c>
    </row>
    <row r="19" spans="20:42" s="9" customFormat="1" ht="15" customHeight="1" x14ac:dyDescent="0.2">
      <c r="V19" s="21" t="s">
        <v>270</v>
      </c>
      <c r="W19" s="23">
        <f>SUMIF([1]!NonNurse[STATE], State112019[[#This Row],[State]], [1]!NonNurse[MDScensus])</f>
        <v>14891.088888888873</v>
      </c>
      <c r="X19" s="23">
        <f>COUNTIF([1]!NonNurse[STATE], State112019[[#This Row],[State]])</f>
        <v>294</v>
      </c>
      <c r="Y19" s="22">
        <f>SUMIF([1]!NonNurse[STATE], State112019[[#This Row],[State]], [1]!NonNurse[Hrs_Admin])/SUMIF([1]!NonNurse[STATE], State112019[[#This Row],[State]], [1]!NonNurse[MDScensus])*60</f>
        <v>6.1036176744033259</v>
      </c>
      <c r="Z19" s="23">
        <f>RANK(State112019[[#This Row],[Total Admin MPRD]],State112019[Total Admin MPRD])</f>
        <v>1</v>
      </c>
      <c r="AA19" s="22">
        <f>SUMIF([1]!NonNurse[STATE], State112019[[#This Row],[State]], [1]!NonNurse[Hrs_MedDir])/SUMIF([1]!NonNurse[STATE], State112019[[#This Row],[State]], [1]!NonNurse[MDScensus])*60</f>
        <v>0.17756256911292218</v>
      </c>
      <c r="AB19" s="23">
        <f>RANK(State112019[[#This Row],[Total MedDir MPRD]],State112019[Total MedDir MPRD])</f>
        <v>48</v>
      </c>
      <c r="AC19" s="22">
        <f>(SUMIF([1]!NonNurse[STATE], State112019[[#This Row],[State]], [1]!NonNurse[Hrs_QualSocWrk]) + SUMIF([1]!NonNurse[STATE], State112019[[#This Row],[State]], [1]!NonNurse[Hrs_OthSocWrk])) / SUMIF([1]!NonNurse[STATE], State112019[[#This Row],[State]], [1]!NonNurse[MDScensus]) * 60</f>
        <v>7.0462870411685401</v>
      </c>
      <c r="AD19" s="23">
        <f>RANK(State112019[[#This Row],[Total Social Work MPRD]],State112019[Total Social Work MPRD])</f>
        <v>13</v>
      </c>
      <c r="AE19" s="22">
        <f>(SUMIF([1]!NonNurse[STATE], State112019[[#This Row],[State]], [1]!NonNurse[Hrs_OT]) + SUMIF([1]!NonNurse[STATE], State112019[[#This Row],[State]], [1]!NonNurse[Hrs_OTasst]) + SUMIF([1]!NonNurse[STATE], State112019[[#This Row],[State]], [1]!NonNurse[Hrs_OTaide])) / SUMIF([1]!NonNurse[STATE], State112019[[#This Row],[State]], [1]!NonNurse[MDScensus]) * 60</f>
        <v>6.9338842469545501</v>
      </c>
      <c r="AF19" s="23">
        <f>RANK(State112019[[#This Row],[Total OT MPRD]],State112019[Total OT MPRD])</f>
        <v>37</v>
      </c>
      <c r="AG19" s="22">
        <f>(SUMIF([1]!NonNurse[STATE], State112019[[#This Row],[State]], [1]!NonNurse[Hrs_PT]) + SUMIF([1]!NonNurse[STATE], State112019[[#This Row],[State]], [1]!NonNurse[Hrs_PTasst]) + SUMIF([1]!NonNurse[STATE], State112019[[#This Row],[State]], [1]!NonNurse[Hrs_PTaide])) / SUMIF([1]!NonNurse[STATE], State112019[[#This Row],[State]], [1]!NonNurse[MDScensus]) * 60</f>
        <v>8.5707876000411805</v>
      </c>
      <c r="AH19" s="23">
        <f>RANK(State112019[[#This Row],[Total PT MPRD]],State112019[Total PT MPRD])</f>
        <v>31</v>
      </c>
      <c r="AI19" s="22">
        <f>(SUMIF([1]!NonNurse[STATE], State112019[[#This Row],[State]], [1]!NonNurse[Hrs_QualActvProf]) + SUMIF([1]!NonNurse[STATE], State112019[[#This Row],[State]], [1]!NonNurse[Hrs_OthActv])) / SUMIF([1]!NonNurse[STATE], State112019[[#This Row],[State]], [1]!NonNurse[MDScensus]) * 60</f>
        <v>9.2467233946028813</v>
      </c>
      <c r="AJ19" s="20">
        <f>RANK(State112019[[#This Row],[Total Activities MPRD]], State112019[Total Activities MPRD])</f>
        <v>31</v>
      </c>
      <c r="AL19" s="23" t="s">
        <v>269</v>
      </c>
      <c r="AM19" s="25">
        <f>SUM([1]!NonNurse[Hrs_OTaide])</f>
        <v>3649.6275555555462</v>
      </c>
      <c r="AN19" s="22">
        <f>Category122120[[#This Row],[US Total Hours]]/SUM([1]!NonNurse[MDScensus])*60</f>
        <v>0.17701699110788155</v>
      </c>
      <c r="AO19" s="23">
        <f>COUNTIF([1]!NonNurse[Hrs_OTaide], 0)</f>
        <v>13901</v>
      </c>
    </row>
    <row r="20" spans="20:42" s="9" customFormat="1" ht="15" customHeight="1" x14ac:dyDescent="0.2">
      <c r="V20" s="21" t="s">
        <v>268</v>
      </c>
      <c r="W20" s="23">
        <f>SUMIF([1]!NonNurse[STATE], State112019[[#This Row],[State]], [1]!NonNurse[MDScensus])</f>
        <v>21254.655555555502</v>
      </c>
      <c r="X20" s="23">
        <f>COUNTIF([1]!NonNurse[STATE], State112019[[#This Row],[State]])</f>
        <v>264</v>
      </c>
      <c r="Y20" s="22">
        <f>SUMIF([1]!NonNurse[STATE], State112019[[#This Row],[State]], [1]!NonNurse[Hrs_Admin])/SUMIF([1]!NonNurse[STATE], State112019[[#This Row],[State]], [1]!NonNurse[MDScensus])*60</f>
        <v>4.0313379709229782</v>
      </c>
      <c r="Z20" s="23">
        <f>RANK(State112019[[#This Row],[Total Admin MPRD]],State112019[Total Admin MPRD])</f>
        <v>29</v>
      </c>
      <c r="AA20" s="22">
        <f>SUMIF([1]!NonNurse[STATE], State112019[[#This Row],[State]], [1]!NonNurse[Hrs_MedDir])/SUMIF([1]!NonNurse[STATE], State112019[[#This Row],[State]], [1]!NonNurse[MDScensus])*60</f>
        <v>0.21668288097927849</v>
      </c>
      <c r="AB20" s="23">
        <f>RANK(State112019[[#This Row],[Total MedDir MPRD]],State112019[Total MedDir MPRD])</f>
        <v>39</v>
      </c>
      <c r="AC20" s="22">
        <f>(SUMIF([1]!NonNurse[STATE], State112019[[#This Row],[State]], [1]!NonNurse[Hrs_QualSocWrk]) + SUMIF([1]!NonNurse[STATE], State112019[[#This Row],[State]], [1]!NonNurse[Hrs_OthSocWrk])) / SUMIF([1]!NonNurse[STATE], State112019[[#This Row],[State]], [1]!NonNurse[MDScensus]) * 60</f>
        <v>4.9522414697119999</v>
      </c>
      <c r="AD20" s="23">
        <f>RANK(State112019[[#This Row],[Total Social Work MPRD]],State112019[Total Social Work MPRD])</f>
        <v>35</v>
      </c>
      <c r="AE20" s="22">
        <f>(SUMIF([1]!NonNurse[STATE], State112019[[#This Row],[State]], [1]!NonNurse[Hrs_OT]) + SUMIF([1]!NonNurse[STATE], State112019[[#This Row],[State]], [1]!NonNurse[Hrs_OTasst]) + SUMIF([1]!NonNurse[STATE], State112019[[#This Row],[State]], [1]!NonNurse[Hrs_OTaide])) / SUMIF([1]!NonNurse[STATE], State112019[[#This Row],[State]], [1]!NonNurse[MDScensus]) * 60</f>
        <v>8.5385396872528379</v>
      </c>
      <c r="AF20" s="23">
        <f>RANK(State112019[[#This Row],[Total OT MPRD]],State112019[Total OT MPRD])</f>
        <v>21</v>
      </c>
      <c r="AG20" s="22">
        <f>(SUMIF([1]!NonNurse[STATE], State112019[[#This Row],[State]], [1]!NonNurse[Hrs_PT]) + SUMIF([1]!NonNurse[STATE], State112019[[#This Row],[State]], [1]!NonNurse[Hrs_PTasst]) + SUMIF([1]!NonNurse[STATE], State112019[[#This Row],[State]], [1]!NonNurse[Hrs_PTaide])) / SUMIF([1]!NonNurse[STATE], State112019[[#This Row],[State]], [1]!NonNurse[MDScensus]) * 60</f>
        <v>8.9567824879150724</v>
      </c>
      <c r="AH20" s="23">
        <f>RANK(State112019[[#This Row],[Total PT MPRD]],State112019[Total PT MPRD])</f>
        <v>28</v>
      </c>
      <c r="AI20" s="22">
        <f>(SUMIF([1]!NonNurse[STATE], State112019[[#This Row],[State]], [1]!NonNurse[Hrs_QualActvProf]) + SUMIF([1]!NonNurse[STATE], State112019[[#This Row],[State]], [1]!NonNurse[Hrs_OthActv])) / SUMIF([1]!NonNurse[STATE], State112019[[#This Row],[State]], [1]!NonNurse[MDScensus]) * 60</f>
        <v>9.0107700326046292</v>
      </c>
      <c r="AJ20" s="20">
        <f>RANK(State112019[[#This Row],[Total Activities MPRD]], State112019[Total Activities MPRD])</f>
        <v>34</v>
      </c>
      <c r="AL20" s="29" t="s">
        <v>267</v>
      </c>
      <c r="AM20" s="28">
        <f>SUM([1]!NonNurse[Hrs_PT], [1]!NonNurse[Hrs_PTasst], [1]!NonNurse[Hrs_PTaide])</f>
        <v>196456.48677777825</v>
      </c>
      <c r="AN20" s="27">
        <f>Category122120[[#This Row],[US Total Hours]]/SUM([1]!NonNurse[MDScensus])*60</f>
        <v>9.5286808430878374</v>
      </c>
      <c r="AO20" s="26">
        <f>COUNTIF([1]!NonNurse[MPRD: PT (incl. Assistant &amp; Aide)], 0)</f>
        <v>754</v>
      </c>
    </row>
    <row r="21" spans="20:42" s="9" customFormat="1" ht="15" customHeight="1" x14ac:dyDescent="0.2">
      <c r="V21" s="21" t="s">
        <v>266</v>
      </c>
      <c r="W21" s="23">
        <f>SUMIF([1]!NonNurse[STATE], State112019[[#This Row],[State]], [1]!NonNurse[MDScensus])</f>
        <v>23353.122222222173</v>
      </c>
      <c r="X21" s="23">
        <f>COUNTIF([1]!NonNurse[STATE], State112019[[#This Row],[State]])</f>
        <v>257</v>
      </c>
      <c r="Y21" s="22">
        <f>SUMIF([1]!NonNurse[STATE], State112019[[#This Row],[State]], [1]!NonNurse[Hrs_Admin])/SUMIF([1]!NonNurse[STATE], State112019[[#This Row],[State]], [1]!NonNurse[MDScensus])*60</f>
        <v>4.0449046784607914</v>
      </c>
      <c r="Z21" s="23">
        <f>RANK(State112019[[#This Row],[Total Admin MPRD]],State112019[Total Admin MPRD])</f>
        <v>28</v>
      </c>
      <c r="AA21" s="22">
        <f>SUMIF([1]!NonNurse[STATE], State112019[[#This Row],[State]], [1]!NonNurse[Hrs_MedDir])/SUMIF([1]!NonNurse[STATE], State112019[[#This Row],[State]], [1]!NonNurse[MDScensus])*60</f>
        <v>0.26299352786993535</v>
      </c>
      <c r="AB21" s="23">
        <f>RANK(State112019[[#This Row],[Total MedDir MPRD]],State112019[Total MedDir MPRD])</f>
        <v>25</v>
      </c>
      <c r="AC21" s="22">
        <f>(SUMIF([1]!NonNurse[STATE], State112019[[#This Row],[State]], [1]!NonNurse[Hrs_QualSocWrk]) + SUMIF([1]!NonNurse[STATE], State112019[[#This Row],[State]], [1]!NonNurse[Hrs_OthSocWrk])) / SUMIF([1]!NonNurse[STATE], State112019[[#This Row],[State]], [1]!NonNurse[MDScensus]) * 60</f>
        <v>3.6322352328810692</v>
      </c>
      <c r="AD21" s="23">
        <f>RANK(State112019[[#This Row],[Total Social Work MPRD]],State112019[Total Social Work MPRD])</f>
        <v>51</v>
      </c>
      <c r="AE21" s="22">
        <f>(SUMIF([1]!NonNurse[STATE], State112019[[#This Row],[State]], [1]!NonNurse[Hrs_OT]) + SUMIF([1]!NonNurse[STATE], State112019[[#This Row],[State]], [1]!NonNurse[Hrs_OTasst]) + SUMIF([1]!NonNurse[STATE], State112019[[#This Row],[State]], [1]!NonNurse[Hrs_OTaide])) / SUMIF([1]!NonNurse[STATE], State112019[[#This Row],[State]], [1]!NonNurse[MDScensus]) * 60</f>
        <v>6.5662078018594725</v>
      </c>
      <c r="AF21" s="23">
        <f>RANK(State112019[[#This Row],[Total OT MPRD]],State112019[Total OT MPRD])</f>
        <v>41</v>
      </c>
      <c r="AG21" s="22">
        <f>(SUMIF([1]!NonNurse[STATE], State112019[[#This Row],[State]], [1]!NonNurse[Hrs_PT]) + SUMIF([1]!NonNurse[STATE], State112019[[#This Row],[State]], [1]!NonNurse[Hrs_PTasst]) + SUMIF([1]!NonNurse[STATE], State112019[[#This Row],[State]], [1]!NonNurse[Hrs_PTaide])) / SUMIF([1]!NonNurse[STATE], State112019[[#This Row],[State]], [1]!NonNurse[MDScensus]) * 60</f>
        <v>7.1878662905412147</v>
      </c>
      <c r="AH21" s="23">
        <f>RANK(State112019[[#This Row],[Total PT MPRD]],State112019[Total PT MPRD])</f>
        <v>39</v>
      </c>
      <c r="AI21" s="22">
        <f>(SUMIF([1]!NonNurse[STATE], State112019[[#This Row],[State]], [1]!NonNurse[Hrs_QualActvProf]) + SUMIF([1]!NonNurse[STATE], State112019[[#This Row],[State]], [1]!NonNurse[Hrs_OthActv])) / SUMIF([1]!NonNurse[STATE], State112019[[#This Row],[State]], [1]!NonNurse[MDScensus]) * 60</f>
        <v>4.5534251189824264</v>
      </c>
      <c r="AJ21" s="20">
        <f>RANK(State112019[[#This Row],[Total Activities MPRD]], State112019[Total Activities MPRD])</f>
        <v>50</v>
      </c>
      <c r="AL21" s="23" t="s">
        <v>204</v>
      </c>
      <c r="AM21" s="23">
        <f>SUM([1]!NonNurse[Hrs_PT])</f>
        <v>83811.778333333292</v>
      </c>
      <c r="AN21" s="22">
        <f>Category122120[[#This Row],[US Total Hours]]/SUM([1]!NonNurse[MDScensus])*60</f>
        <v>4.065102149227128</v>
      </c>
      <c r="AO21" s="23">
        <f>COUNTIF([1]!NonNurse[Hrs_PT], 0)</f>
        <v>946</v>
      </c>
    </row>
    <row r="22" spans="20:42" s="9" customFormat="1" ht="15" customHeight="1" x14ac:dyDescent="0.2">
      <c r="V22" s="21" t="s">
        <v>265</v>
      </c>
      <c r="W22" s="23">
        <f>SUMIF([1]!NonNurse[STATE], State112019[[#This Row],[State]], [1]!NonNurse[MDScensus])</f>
        <v>32632.69999999991</v>
      </c>
      <c r="X22" s="23">
        <f>COUNTIF([1]!NonNurse[STATE], State112019[[#This Row],[State]])</f>
        <v>332</v>
      </c>
      <c r="Y22" s="22">
        <f>SUMIF([1]!NonNurse[STATE], State112019[[#This Row],[State]], [1]!NonNurse[Hrs_Admin])/SUMIF([1]!NonNurse[STATE], State112019[[#This Row],[State]], [1]!NonNurse[MDScensus])*60</f>
        <v>3.3084059854072843</v>
      </c>
      <c r="Z22" s="23">
        <f>RANK(State112019[[#This Row],[Total Admin MPRD]],State112019[Total Admin MPRD])</f>
        <v>44</v>
      </c>
      <c r="AA22" s="22">
        <f>SUMIF([1]!NonNurse[STATE], State112019[[#This Row],[State]], [1]!NonNurse[Hrs_MedDir])/SUMIF([1]!NonNurse[STATE], State112019[[#This Row],[State]], [1]!NonNurse[MDScensus])*60</f>
        <v>0.28267514895590451</v>
      </c>
      <c r="AB22" s="23">
        <f>RANK(State112019[[#This Row],[Total MedDir MPRD]],State112019[Total MedDir MPRD])</f>
        <v>20</v>
      </c>
      <c r="AC22" s="22">
        <f>(SUMIF([1]!NonNurse[STATE], State112019[[#This Row],[State]], [1]!NonNurse[Hrs_QualSocWrk]) + SUMIF([1]!NonNurse[STATE], State112019[[#This Row],[State]], [1]!NonNurse[Hrs_OthSocWrk])) / SUMIF([1]!NonNurse[STATE], State112019[[#This Row],[State]], [1]!NonNurse[MDScensus]) * 60</f>
        <v>5.2435953302464577</v>
      </c>
      <c r="AD22" s="23">
        <f>RANK(State112019[[#This Row],[Total Social Work MPRD]],State112019[Total Social Work MPRD])</f>
        <v>31</v>
      </c>
      <c r="AE22" s="22">
        <f>(SUMIF([1]!NonNurse[STATE], State112019[[#This Row],[State]], [1]!NonNurse[Hrs_OT]) + SUMIF([1]!NonNurse[STATE], State112019[[#This Row],[State]], [1]!NonNurse[Hrs_OTasst]) + SUMIF([1]!NonNurse[STATE], State112019[[#This Row],[State]], [1]!NonNurse[Hrs_OTaide])) / SUMIF([1]!NonNurse[STATE], State112019[[#This Row],[State]], [1]!NonNurse[MDScensus]) * 60</f>
        <v>8.2942132686946977</v>
      </c>
      <c r="AF22" s="23">
        <f>RANK(State112019[[#This Row],[Total OT MPRD]],State112019[Total OT MPRD])</f>
        <v>24</v>
      </c>
      <c r="AG22" s="22">
        <f>(SUMIF([1]!NonNurse[STATE], State112019[[#This Row],[State]], [1]!NonNurse[Hrs_PT]) + SUMIF([1]!NonNurse[STATE], State112019[[#This Row],[State]], [1]!NonNurse[Hrs_PTasst]) + SUMIF([1]!NonNurse[STATE], State112019[[#This Row],[State]], [1]!NonNurse[Hrs_PTaide])) / SUMIF([1]!NonNurse[STATE], State112019[[#This Row],[State]], [1]!NonNurse[MDScensus]) * 60</f>
        <v>8.4078863634738621</v>
      </c>
      <c r="AH22" s="23">
        <f>RANK(State112019[[#This Row],[Total PT MPRD]],State112019[Total PT MPRD])</f>
        <v>32</v>
      </c>
      <c r="AI22" s="22">
        <f>(SUMIF([1]!NonNurse[STATE], State112019[[#This Row],[State]], [1]!NonNurse[Hrs_QualActvProf]) + SUMIF([1]!NonNurse[STATE], State112019[[#This Row],[State]], [1]!NonNurse[Hrs_OthActv])) / SUMIF([1]!NonNurse[STATE], State112019[[#This Row],[State]], [1]!NonNurse[MDScensus]) * 60</f>
        <v>12.506711366206304</v>
      </c>
      <c r="AJ22" s="20">
        <f>RANK(State112019[[#This Row],[Total Activities MPRD]], State112019[Total Activities MPRD])</f>
        <v>15</v>
      </c>
      <c r="AL22" s="23" t="s">
        <v>264</v>
      </c>
      <c r="AM22" s="23">
        <f>SUM([1]!NonNurse[Hrs_PTasst])</f>
        <v>104046.77277777753</v>
      </c>
      <c r="AN22" s="22">
        <f>Category122120[[#This Row],[US Total Hours]]/SUM([1]!NonNurse[MDScensus])*60</f>
        <v>5.0465551268570534</v>
      </c>
      <c r="AO22" s="23">
        <f>COUNTIF([1]!NonNurse[Hrs_PTasst], 0)</f>
        <v>1815</v>
      </c>
    </row>
    <row r="23" spans="20:42" s="9" customFormat="1" ht="15" customHeight="1" x14ac:dyDescent="0.2">
      <c r="V23" s="21" t="s">
        <v>263</v>
      </c>
      <c r="W23" s="23">
        <f>SUMIF([1]!NonNurse[STATE], State112019[[#This Row],[State]], [1]!NonNurse[MDScensus])</f>
        <v>23019.477777777709</v>
      </c>
      <c r="X23" s="23">
        <f>COUNTIF([1]!NonNurse[STATE], State112019[[#This Row],[State]])</f>
        <v>220</v>
      </c>
      <c r="Y23" s="22">
        <f>SUMIF([1]!NonNurse[STATE], State112019[[#This Row],[State]], [1]!NonNurse[Hrs_Admin])/SUMIF([1]!NonNurse[STATE], State112019[[#This Row],[State]], [1]!NonNurse[MDScensus])*60</f>
        <v>3.1251702302349798</v>
      </c>
      <c r="Z23" s="23">
        <f>RANK(State112019[[#This Row],[Total Admin MPRD]],State112019[Total Admin MPRD])</f>
        <v>47</v>
      </c>
      <c r="AA23" s="22">
        <f>SUMIF([1]!NonNurse[STATE], State112019[[#This Row],[State]], [1]!NonNurse[Hrs_MedDir])/SUMIF([1]!NonNurse[STATE], State112019[[#This Row],[State]], [1]!NonNurse[MDScensus])*60</f>
        <v>0.29598615278944984</v>
      </c>
      <c r="AB23" s="23">
        <f>RANK(State112019[[#This Row],[Total MedDir MPRD]],State112019[Total MedDir MPRD])</f>
        <v>19</v>
      </c>
      <c r="AC23" s="22">
        <f>(SUMIF([1]!NonNurse[STATE], State112019[[#This Row],[State]], [1]!NonNurse[Hrs_QualSocWrk]) + SUMIF([1]!NonNurse[STATE], State112019[[#This Row],[State]], [1]!NonNurse[Hrs_OthSocWrk])) / SUMIF([1]!NonNurse[STATE], State112019[[#This Row],[State]], [1]!NonNurse[MDScensus]) * 60</f>
        <v>5.3907880910513999</v>
      </c>
      <c r="AD23" s="23">
        <f>RANK(State112019[[#This Row],[Total Social Work MPRD]],State112019[Total Social Work MPRD])</f>
        <v>28</v>
      </c>
      <c r="AE23" s="22">
        <f>(SUMIF([1]!NonNurse[STATE], State112019[[#This Row],[State]], [1]!NonNurse[Hrs_OT]) + SUMIF([1]!NonNurse[STATE], State112019[[#This Row],[State]], [1]!NonNurse[Hrs_OTasst]) + SUMIF([1]!NonNurse[STATE], State112019[[#This Row],[State]], [1]!NonNurse[Hrs_OTaide])) / SUMIF([1]!NonNurse[STATE], State112019[[#This Row],[State]], [1]!NonNurse[MDScensus]) * 60</f>
        <v>8.772300076312197</v>
      </c>
      <c r="AF23" s="23">
        <f>RANK(State112019[[#This Row],[Total OT MPRD]],State112019[Total OT MPRD])</f>
        <v>16</v>
      </c>
      <c r="AG23" s="22">
        <f>(SUMIF([1]!NonNurse[STATE], State112019[[#This Row],[State]], [1]!NonNurse[Hrs_PT]) + SUMIF([1]!NonNurse[STATE], State112019[[#This Row],[State]], [1]!NonNurse[Hrs_PTasst]) + SUMIF([1]!NonNurse[STATE], State112019[[#This Row],[State]], [1]!NonNurse[Hrs_PTaide])) / SUMIF([1]!NonNurse[STATE], State112019[[#This Row],[State]], [1]!NonNurse[MDScensus]) * 60</f>
        <v>9.4650887436871205</v>
      </c>
      <c r="AH23" s="23">
        <f>RANK(State112019[[#This Row],[Total PT MPRD]],State112019[Total PT MPRD])</f>
        <v>22</v>
      </c>
      <c r="AI23" s="22">
        <f>(SUMIF([1]!NonNurse[STATE], State112019[[#This Row],[State]], [1]!NonNurse[Hrs_QualActvProf]) + SUMIF([1]!NonNurse[STATE], State112019[[#This Row],[State]], [1]!NonNurse[Hrs_OthActv])) / SUMIF([1]!NonNurse[STATE], State112019[[#This Row],[State]], [1]!NonNurse[MDScensus]) * 60</f>
        <v>10.198784218002835</v>
      </c>
      <c r="AJ23" s="20">
        <f>RANK(State112019[[#This Row],[Total Activities MPRD]], State112019[Total Activities MPRD])</f>
        <v>27</v>
      </c>
      <c r="AL23" s="23" t="s">
        <v>262</v>
      </c>
      <c r="AM23" s="25">
        <f>SUM([1]!NonNurse[Hrs_PTaide])</f>
        <v>8597.9356666666572</v>
      </c>
      <c r="AN23" s="22">
        <f>Category122120[[#This Row],[US Total Hours]]/SUM([1]!NonNurse[MDScensus])*60</f>
        <v>0.41702356700361809</v>
      </c>
      <c r="AO23" s="23">
        <f>COUNTIF([1]!NonNurse[Hrs_PTaide], 0)</f>
        <v>12806</v>
      </c>
    </row>
    <row r="24" spans="20:42" s="9" customFormat="1" ht="15" customHeight="1" x14ac:dyDescent="0.2">
      <c r="V24" s="21" t="s">
        <v>261</v>
      </c>
      <c r="W24" s="23">
        <f>SUMIF([1]!NonNurse[STATE], State112019[[#This Row],[State]], [1]!NonNurse[MDScensus])</f>
        <v>4996.8999999999933</v>
      </c>
      <c r="X24" s="23">
        <f>COUNTIF([1]!NonNurse[STATE], State112019[[#This Row],[State]])</f>
        <v>77</v>
      </c>
      <c r="Y24" s="22">
        <f>SUMIF([1]!NonNurse[STATE], State112019[[#This Row],[State]], [1]!NonNurse[Hrs_Admin])/SUMIF([1]!NonNurse[STATE], State112019[[#This Row],[State]], [1]!NonNurse[MDScensus])*60</f>
        <v>5.0971468977432659</v>
      </c>
      <c r="Z24" s="23">
        <f>RANK(State112019[[#This Row],[Total Admin MPRD]],State112019[Total Admin MPRD])</f>
        <v>14</v>
      </c>
      <c r="AA24" s="22">
        <f>SUMIF([1]!NonNurse[STATE], State112019[[#This Row],[State]], [1]!NonNurse[Hrs_MedDir])/SUMIF([1]!NonNurse[STATE], State112019[[#This Row],[State]], [1]!NonNurse[MDScensus])*60</f>
        <v>0.50227807907569366</v>
      </c>
      <c r="AB24" s="23">
        <f>RANK(State112019[[#This Row],[Total MedDir MPRD]],State112019[Total MedDir MPRD])</f>
        <v>4</v>
      </c>
      <c r="AC24" s="22">
        <f>(SUMIF([1]!NonNurse[STATE], State112019[[#This Row],[State]], [1]!NonNurse[Hrs_QualSocWrk]) + SUMIF([1]!NonNurse[STATE], State112019[[#This Row],[State]], [1]!NonNurse[Hrs_OthSocWrk])) / SUMIF([1]!NonNurse[STATE], State112019[[#This Row],[State]], [1]!NonNurse[MDScensus]) * 60</f>
        <v>6.6256852581934114</v>
      </c>
      <c r="AD24" s="23">
        <f>RANK(State112019[[#This Row],[Total Social Work MPRD]],State112019[Total Social Work MPRD])</f>
        <v>15</v>
      </c>
      <c r="AE24" s="22">
        <f>(SUMIF([1]!NonNurse[STATE], State112019[[#This Row],[State]], [1]!NonNurse[Hrs_OT]) + SUMIF([1]!NonNurse[STATE], State112019[[#This Row],[State]], [1]!NonNurse[Hrs_OTasst]) + SUMIF([1]!NonNurse[STATE], State112019[[#This Row],[State]], [1]!NonNurse[Hrs_OTaide])) / SUMIF([1]!NonNurse[STATE], State112019[[#This Row],[State]], [1]!NonNurse[MDScensus]) * 60</f>
        <v>8.4120221203812964</v>
      </c>
      <c r="AF24" s="23">
        <f>RANK(State112019[[#This Row],[Total OT MPRD]],State112019[Total OT MPRD])</f>
        <v>23</v>
      </c>
      <c r="AG24" s="22">
        <f>(SUMIF([1]!NonNurse[STATE], State112019[[#This Row],[State]], [1]!NonNurse[Hrs_PT]) + SUMIF([1]!NonNurse[STATE], State112019[[#This Row],[State]], [1]!NonNurse[Hrs_PTasst]) + SUMIF([1]!NonNurse[STATE], State112019[[#This Row],[State]], [1]!NonNurse[Hrs_PTaide])) / SUMIF([1]!NonNurse[STATE], State112019[[#This Row],[State]], [1]!NonNurse[MDScensus]) * 60</f>
        <v>7.9889504826325615</v>
      </c>
      <c r="AH24" s="23">
        <f>RANK(State112019[[#This Row],[Total PT MPRD]],State112019[Total PT MPRD])</f>
        <v>37</v>
      </c>
      <c r="AI24" s="22">
        <f>(SUMIF([1]!NonNurse[STATE], State112019[[#This Row],[State]], [1]!NonNurse[Hrs_QualActvProf]) + SUMIF([1]!NonNurse[STATE], State112019[[#This Row],[State]], [1]!NonNurse[Hrs_OthActv])) / SUMIF([1]!NonNurse[STATE], State112019[[#This Row],[State]], [1]!NonNurse[MDScensus]) * 60</f>
        <v>11.312411028170796</v>
      </c>
      <c r="AJ24" s="20">
        <f>RANK(State112019[[#This Row],[Total Activities MPRD]], State112019[Total Activities MPRD])</f>
        <v>19</v>
      </c>
      <c r="AL24" s="23" t="s">
        <v>260</v>
      </c>
      <c r="AM24" s="25">
        <f>SUM([1]!NonNurse[Hrs_MHSvc])</f>
        <v>6093.8093333333291</v>
      </c>
      <c r="AN24" s="22">
        <f>Category122120[[#This Row],[US Total Hours]]/SUM([1]!NonNurse[MDScensus])*60</f>
        <v>0.29556654101039925</v>
      </c>
      <c r="AO24" s="23">
        <f>COUNTIF([1]!NonNurse[Hrs_MHSvc], 0)</f>
        <v>13788</v>
      </c>
    </row>
    <row r="25" spans="20:42" s="9" customFormat="1" ht="15" customHeight="1" x14ac:dyDescent="0.2">
      <c r="V25" s="21" t="s">
        <v>259</v>
      </c>
      <c r="W25" s="23">
        <f>SUMIF([1]!NonNurse[STATE], State112019[[#This Row],[State]], [1]!NonNurse[MDScensus])</f>
        <v>35599.355555555478</v>
      </c>
      <c r="X25" s="23">
        <f>COUNTIF([1]!NonNurse[STATE], State112019[[#This Row],[State]])</f>
        <v>420</v>
      </c>
      <c r="Y25" s="22">
        <f>SUMIF([1]!NonNurse[STATE], State112019[[#This Row],[State]], [1]!NonNurse[Hrs_Admin])/SUMIF([1]!NonNurse[STATE], State112019[[#This Row],[State]], [1]!NonNurse[MDScensus])*60</f>
        <v>3.7767962715929317</v>
      </c>
      <c r="Z25" s="23">
        <f>RANK(State112019[[#This Row],[Total Admin MPRD]],State112019[Total Admin MPRD])</f>
        <v>34</v>
      </c>
      <c r="AA25" s="22">
        <f>SUMIF([1]!NonNurse[STATE], State112019[[#This Row],[State]], [1]!NonNurse[Hrs_MedDir])/SUMIF([1]!NonNurse[STATE], State112019[[#This Row],[State]], [1]!NonNurse[MDScensus])*60</f>
        <v>0.2397974120630155</v>
      </c>
      <c r="AB25" s="23">
        <f>RANK(State112019[[#This Row],[Total MedDir MPRD]],State112019[Total MedDir MPRD])</f>
        <v>31</v>
      </c>
      <c r="AC25" s="22">
        <f>(SUMIF([1]!NonNurse[STATE], State112019[[#This Row],[State]], [1]!NonNurse[Hrs_QualSocWrk]) + SUMIF([1]!NonNurse[STATE], State112019[[#This Row],[State]], [1]!NonNurse[Hrs_OthSocWrk])) / SUMIF([1]!NonNurse[STATE], State112019[[#This Row],[State]], [1]!NonNurse[MDScensus]) * 60</f>
        <v>5.5347844623903963</v>
      </c>
      <c r="AD25" s="23">
        <f>RANK(State112019[[#This Row],[Total Social Work MPRD]],State112019[Total Social Work MPRD])</f>
        <v>25</v>
      </c>
      <c r="AE25" s="22">
        <f>(SUMIF([1]!NonNurse[STATE], State112019[[#This Row],[State]], [1]!NonNurse[Hrs_OT]) + SUMIF([1]!NonNurse[STATE], State112019[[#This Row],[State]], [1]!NonNurse[Hrs_OTasst]) + SUMIF([1]!NonNurse[STATE], State112019[[#This Row],[State]], [1]!NonNurse[Hrs_OTaide])) / SUMIF([1]!NonNurse[STATE], State112019[[#This Row],[State]], [1]!NonNurse[MDScensus]) * 60</f>
        <v>9.2859785851304419</v>
      </c>
      <c r="AF25" s="23">
        <f>RANK(State112019[[#This Row],[Total OT MPRD]],State112019[Total OT MPRD])</f>
        <v>12</v>
      </c>
      <c r="AG25" s="22">
        <f>(SUMIF([1]!NonNurse[STATE], State112019[[#This Row],[State]], [1]!NonNurse[Hrs_PT]) + SUMIF([1]!NonNurse[STATE], State112019[[#This Row],[State]], [1]!NonNurse[Hrs_PTasst]) + SUMIF([1]!NonNurse[STATE], State112019[[#This Row],[State]], [1]!NonNurse[Hrs_PTaide])) / SUMIF([1]!NonNurse[STATE], State112019[[#This Row],[State]], [1]!NonNurse[MDScensus]) * 60</f>
        <v>9.7065097932484434</v>
      </c>
      <c r="AH25" s="23">
        <f>RANK(State112019[[#This Row],[Total PT MPRD]],State112019[Total PT MPRD])</f>
        <v>21</v>
      </c>
      <c r="AI25" s="22">
        <f>(SUMIF([1]!NonNurse[STATE], State112019[[#This Row],[State]], [1]!NonNurse[Hrs_QualActvProf]) + SUMIF([1]!NonNurse[STATE], State112019[[#This Row],[State]], [1]!NonNurse[Hrs_OthActv])) / SUMIF([1]!NonNurse[STATE], State112019[[#This Row],[State]], [1]!NonNurse[MDScensus]) * 60</f>
        <v>12.828157500978477</v>
      </c>
      <c r="AJ25" s="20">
        <f>RANK(State112019[[#This Row],[Total Activities MPRD]], State112019[Total Activities MPRD])</f>
        <v>14</v>
      </c>
      <c r="AL25" s="23" t="s">
        <v>258</v>
      </c>
      <c r="AM25" s="25">
        <f>SUM([1]!NonNurse[Hrs_TherRecSpec])</f>
        <v>6567.6108888888912</v>
      </c>
      <c r="AN25" s="22">
        <f>Category122120[[#This Row],[US Total Hours]]/SUM([1]!NonNurse[MDScensus])*60</f>
        <v>0.31854722177027822</v>
      </c>
      <c r="AO25" s="23">
        <f>COUNTIF([1]!NonNurse[Hrs_TherRecSpec], 0)</f>
        <v>13611</v>
      </c>
    </row>
    <row r="26" spans="20:42" s="9" customFormat="1" ht="15" customHeight="1" x14ac:dyDescent="0.2">
      <c r="V26" s="21" t="s">
        <v>257</v>
      </c>
      <c r="W26" s="23">
        <f>SUMIF([1]!NonNurse[STATE], State112019[[#This Row],[State]], [1]!NonNurse[MDScensus])</f>
        <v>20028.177777777761</v>
      </c>
      <c r="X26" s="23">
        <f>COUNTIF([1]!NonNurse[STATE], State112019[[#This Row],[State]])</f>
        <v>337</v>
      </c>
      <c r="Y26" s="22">
        <f>SUMIF([1]!NonNurse[STATE], State112019[[#This Row],[State]], [1]!NonNurse[Hrs_Admin])/SUMIF([1]!NonNurse[STATE], State112019[[#This Row],[State]], [1]!NonNurse[MDScensus])*60</f>
        <v>5.1030500361712567</v>
      </c>
      <c r="Z26" s="23">
        <f>RANK(State112019[[#This Row],[Total Admin MPRD]],State112019[Total Admin MPRD])</f>
        <v>13</v>
      </c>
      <c r="AA26" s="22">
        <f>SUMIF([1]!NonNurse[STATE], State112019[[#This Row],[State]], [1]!NonNurse[Hrs_MedDir])/SUMIF([1]!NonNurse[STATE], State112019[[#This Row],[State]], [1]!NonNurse[MDScensus])*60</f>
        <v>0.19215261165380321</v>
      </c>
      <c r="AB26" s="23">
        <f>RANK(State112019[[#This Row],[Total MedDir MPRD]],State112019[Total MedDir MPRD])</f>
        <v>44</v>
      </c>
      <c r="AC26" s="22">
        <f>(SUMIF([1]!NonNurse[STATE], State112019[[#This Row],[State]], [1]!NonNurse[Hrs_QualSocWrk]) + SUMIF([1]!NonNurse[STATE], State112019[[#This Row],[State]], [1]!NonNurse[Hrs_OthSocWrk])) / SUMIF([1]!NonNurse[STATE], State112019[[#This Row],[State]], [1]!NonNurse[MDScensus]) * 60</f>
        <v>7.6633501910641337</v>
      </c>
      <c r="AD26" s="23">
        <f>RANK(State112019[[#This Row],[Total Social Work MPRD]],State112019[Total Social Work MPRD])</f>
        <v>7</v>
      </c>
      <c r="AE26" s="22">
        <f>(SUMIF([1]!NonNurse[STATE], State112019[[#This Row],[State]], [1]!NonNurse[Hrs_OT]) + SUMIF([1]!NonNurse[STATE], State112019[[#This Row],[State]], [1]!NonNurse[Hrs_OTasst]) + SUMIF([1]!NonNurse[STATE], State112019[[#This Row],[State]], [1]!NonNurse[Hrs_OTaide])) / SUMIF([1]!NonNurse[STATE], State112019[[#This Row],[State]], [1]!NonNurse[MDScensus]) * 60</f>
        <v>7.5844583409152335</v>
      </c>
      <c r="AF26" s="23">
        <f>RANK(State112019[[#This Row],[Total OT MPRD]],State112019[Total OT MPRD])</f>
        <v>31</v>
      </c>
      <c r="AG26" s="22">
        <f>(SUMIF([1]!NonNurse[STATE], State112019[[#This Row],[State]], [1]!NonNurse[Hrs_PT]) + SUMIF([1]!NonNurse[STATE], State112019[[#This Row],[State]], [1]!NonNurse[Hrs_PTasst]) + SUMIF([1]!NonNurse[STATE], State112019[[#This Row],[State]], [1]!NonNurse[Hrs_PTaide])) / SUMIF([1]!NonNurse[STATE], State112019[[#This Row],[State]], [1]!NonNurse[MDScensus]) * 60</f>
        <v>9.2469547348846159</v>
      </c>
      <c r="AH26" s="23">
        <f>RANK(State112019[[#This Row],[Total PT MPRD]],State112019[Total PT MPRD])</f>
        <v>24</v>
      </c>
      <c r="AI26" s="22">
        <f>(SUMIF([1]!NonNurse[STATE], State112019[[#This Row],[State]], [1]!NonNurse[Hrs_QualActvProf]) + SUMIF([1]!NonNurse[STATE], State112019[[#This Row],[State]], [1]!NonNurse[Hrs_OthActv])) / SUMIF([1]!NonNurse[STATE], State112019[[#This Row],[State]], [1]!NonNurse[MDScensus]) * 60</f>
        <v>15.49604013456594</v>
      </c>
      <c r="AJ26" s="20">
        <f>RANK(State112019[[#This Row],[Total Activities MPRD]], State112019[Total Activities MPRD])</f>
        <v>5</v>
      </c>
      <c r="AL26" s="23" t="s">
        <v>256</v>
      </c>
      <c r="AM26" s="25">
        <f>SUM([1]!NonNurse[Hrs_ClinNrsSpec])</f>
        <v>648.78877777777666</v>
      </c>
      <c r="AN26" s="22">
        <f>Category122120[[#This Row],[US Total Hours]]/SUM([1]!NonNurse[MDScensus])*60</f>
        <v>3.1468043124553868E-2</v>
      </c>
      <c r="AO26" s="23">
        <f>COUNTIF([1]!NonNurse[Hrs_ClinNrsSpec], 0)</f>
        <v>14330</v>
      </c>
      <c r="AP26" s="23"/>
    </row>
    <row r="27" spans="20:42" s="9" customFormat="1" ht="15" customHeight="1" x14ac:dyDescent="0.2">
      <c r="V27" s="21" t="s">
        <v>255</v>
      </c>
      <c r="W27" s="23">
        <f>SUMIF([1]!NonNurse[STATE], State112019[[#This Row],[State]], [1]!NonNurse[MDScensus])</f>
        <v>34238.0666666666</v>
      </c>
      <c r="X27" s="23">
        <f>COUNTIF([1]!NonNurse[STATE], State112019[[#This Row],[State]])</f>
        <v>475</v>
      </c>
      <c r="Y27" s="22">
        <f>SUMIF([1]!NonNurse[STATE], State112019[[#This Row],[State]], [1]!NonNurse[Hrs_Admin])/SUMIF([1]!NonNurse[STATE], State112019[[#This Row],[State]], [1]!NonNurse[MDScensus])*60</f>
        <v>4.7359983332392197</v>
      </c>
      <c r="Z27" s="23">
        <f>RANK(State112019[[#This Row],[Total Admin MPRD]],State112019[Total Admin MPRD])</f>
        <v>17</v>
      </c>
      <c r="AA27" s="22">
        <f>SUMIF([1]!NonNurse[STATE], State112019[[#This Row],[State]], [1]!NonNurse[Hrs_MedDir])/SUMIF([1]!NonNurse[STATE], State112019[[#This Row],[State]], [1]!NonNurse[MDScensus])*60</f>
        <v>0.23837638807487194</v>
      </c>
      <c r="AB27" s="23">
        <f>RANK(State112019[[#This Row],[Total MedDir MPRD]],State112019[Total MedDir MPRD])</f>
        <v>33</v>
      </c>
      <c r="AC27" s="22">
        <f>(SUMIF([1]!NonNurse[STATE], State112019[[#This Row],[State]], [1]!NonNurse[Hrs_QualSocWrk]) + SUMIF([1]!NonNurse[STATE], State112019[[#This Row],[State]], [1]!NonNurse[Hrs_OthSocWrk])) / SUMIF([1]!NonNurse[STATE], State112019[[#This Row],[State]], [1]!NonNurse[MDScensus]) * 60</f>
        <v>5.043275418588669</v>
      </c>
      <c r="AD27" s="23">
        <f>RANK(State112019[[#This Row],[Total Social Work MPRD]],State112019[Total Social Work MPRD])</f>
        <v>33</v>
      </c>
      <c r="AE27" s="22">
        <f>(SUMIF([1]!NonNurse[STATE], State112019[[#This Row],[State]], [1]!NonNurse[Hrs_OT]) + SUMIF([1]!NonNurse[STATE], State112019[[#This Row],[State]], [1]!NonNurse[Hrs_OTasst]) + SUMIF([1]!NonNurse[STATE], State112019[[#This Row],[State]], [1]!NonNurse[Hrs_OTaide])) / SUMIF([1]!NonNurse[STATE], State112019[[#This Row],[State]], [1]!NonNurse[MDScensus]) * 60</f>
        <v>5.9497263280052826</v>
      </c>
      <c r="AF27" s="23">
        <f>RANK(State112019[[#This Row],[Total OT MPRD]],State112019[Total OT MPRD])</f>
        <v>43</v>
      </c>
      <c r="AG27" s="22">
        <f>(SUMIF([1]!NonNurse[STATE], State112019[[#This Row],[State]], [1]!NonNurse[Hrs_PT]) + SUMIF([1]!NonNurse[STATE], State112019[[#This Row],[State]], [1]!NonNurse[Hrs_PTasst]) + SUMIF([1]!NonNurse[STATE], State112019[[#This Row],[State]], [1]!NonNurse[Hrs_PTaide])) / SUMIF([1]!NonNurse[STATE], State112019[[#This Row],[State]], [1]!NonNurse[MDScensus]) * 60</f>
        <v>6.4916360152734507</v>
      </c>
      <c r="AH27" s="23">
        <f>RANK(State112019[[#This Row],[Total PT MPRD]],State112019[Total PT MPRD])</f>
        <v>45</v>
      </c>
      <c r="AI27" s="22">
        <f>(SUMIF([1]!NonNurse[STATE], State112019[[#This Row],[State]], [1]!NonNurse[Hrs_QualActvProf]) + SUMIF([1]!NonNurse[STATE], State112019[[#This Row],[State]], [1]!NonNurse[Hrs_OthActv])) / SUMIF([1]!NonNurse[STATE], State112019[[#This Row],[State]], [1]!NonNurse[MDScensus]) * 60</f>
        <v>6.7045261512040248</v>
      </c>
      <c r="AJ27" s="20">
        <f>RANK(State112019[[#This Row],[Total Activities MPRD]], State112019[Total Activities MPRD])</f>
        <v>43</v>
      </c>
      <c r="AL27" s="23" t="s">
        <v>254</v>
      </c>
      <c r="AM27" s="25">
        <f>SUM([1]!NonNurse[Hrs_FeedAsst])</f>
        <v>32688.170888888813</v>
      </c>
      <c r="AN27" s="22">
        <f>Category122120[[#This Row],[US Total Hours]]/SUM([1]!NonNurse[MDScensus])*60</f>
        <v>1.5854663434802305</v>
      </c>
      <c r="AO27" s="23">
        <f>COUNTIF([1]!NonNurse[Hrs_FeedAsst], 0)</f>
        <v>13678</v>
      </c>
    </row>
    <row r="28" spans="20:42" s="9" customFormat="1" ht="15" customHeight="1" x14ac:dyDescent="0.2">
      <c r="V28" s="21" t="s">
        <v>253</v>
      </c>
      <c r="W28" s="23">
        <f>SUMIF([1]!NonNurse[STATE], State112019[[#This Row],[State]], [1]!NonNurse[MDScensus])</f>
        <v>14748.533333333311</v>
      </c>
      <c r="X28" s="23">
        <f>COUNTIF([1]!NonNurse[STATE], State112019[[#This Row],[State]])</f>
        <v>200</v>
      </c>
      <c r="Y28" s="22">
        <f>SUMIF([1]!NonNurse[STATE], State112019[[#This Row],[State]], [1]!NonNurse[Hrs_Admin])/SUMIF([1]!NonNurse[STATE], State112019[[#This Row],[State]], [1]!NonNurse[MDScensus])*60</f>
        <v>4.7354955068978617</v>
      </c>
      <c r="Z28" s="23">
        <f>RANK(State112019[[#This Row],[Total Admin MPRD]],State112019[Total Admin MPRD])</f>
        <v>18</v>
      </c>
      <c r="AA28" s="22">
        <f>SUMIF([1]!NonNurse[STATE], State112019[[#This Row],[State]], [1]!NonNurse[Hrs_MedDir])/SUMIF([1]!NonNurse[STATE], State112019[[#This Row],[State]], [1]!NonNurse[MDScensus])*60</f>
        <v>0.27261060986855196</v>
      </c>
      <c r="AB28" s="23">
        <f>RANK(State112019[[#This Row],[Total MedDir MPRD]],State112019[Total MedDir MPRD])</f>
        <v>23</v>
      </c>
      <c r="AC28" s="22">
        <f>(SUMIF([1]!NonNurse[STATE], State112019[[#This Row],[State]], [1]!NonNurse[Hrs_QualSocWrk]) + SUMIF([1]!NonNurse[STATE], State112019[[#This Row],[State]], [1]!NonNurse[Hrs_OthSocWrk])) / SUMIF([1]!NonNurse[STATE], State112019[[#This Row],[State]], [1]!NonNurse[MDScensus]) * 60</f>
        <v>4.505441445025042</v>
      </c>
      <c r="AD28" s="23">
        <f>RANK(State112019[[#This Row],[Total Social Work MPRD]],State112019[Total Social Work MPRD])</f>
        <v>43</v>
      </c>
      <c r="AE28" s="22">
        <f>(SUMIF([1]!NonNurse[STATE], State112019[[#This Row],[State]], [1]!NonNurse[Hrs_OT]) + SUMIF([1]!NonNurse[STATE], State112019[[#This Row],[State]], [1]!NonNurse[Hrs_OTasst]) + SUMIF([1]!NonNurse[STATE], State112019[[#This Row],[State]], [1]!NonNurse[Hrs_OTaide])) / SUMIF([1]!NonNurse[STATE], State112019[[#This Row],[State]], [1]!NonNurse[MDScensus]) * 60</f>
        <v>6.8658185220677295</v>
      </c>
      <c r="AF28" s="23">
        <f>RANK(State112019[[#This Row],[Total OT MPRD]],State112019[Total OT MPRD])</f>
        <v>38</v>
      </c>
      <c r="AG28" s="22">
        <f>(SUMIF([1]!NonNurse[STATE], State112019[[#This Row],[State]], [1]!NonNurse[Hrs_PT]) + SUMIF([1]!NonNurse[STATE], State112019[[#This Row],[State]], [1]!NonNurse[Hrs_PTasst]) + SUMIF([1]!NonNurse[STATE], State112019[[#This Row],[State]], [1]!NonNurse[Hrs_PTaide])) / SUMIF([1]!NonNurse[STATE], State112019[[#This Row],[State]], [1]!NonNurse[MDScensus]) * 60</f>
        <v>7.5675221942972879</v>
      </c>
      <c r="AH28" s="23">
        <f>RANK(State112019[[#This Row],[Total PT MPRD]],State112019[Total PT MPRD])</f>
        <v>38</v>
      </c>
      <c r="AI28" s="22">
        <f>(SUMIF([1]!NonNurse[STATE], State112019[[#This Row],[State]], [1]!NonNurse[Hrs_QualActvProf]) + SUMIF([1]!NonNurse[STATE], State112019[[#This Row],[State]], [1]!NonNurse[Hrs_OthActv])) / SUMIF([1]!NonNurse[STATE], State112019[[#This Row],[State]], [1]!NonNurse[MDScensus]) * 60</f>
        <v>6.3382428987289119</v>
      </c>
      <c r="AJ28" s="20">
        <f>RANK(State112019[[#This Row],[Total Activities MPRD]], State112019[Total Activities MPRD])</f>
        <v>46</v>
      </c>
      <c r="AL28" s="23" t="s">
        <v>252</v>
      </c>
      <c r="AM28" s="23">
        <f>SUM([1]!NonNurse[Hrs_RespTher])</f>
        <v>28291.997111111046</v>
      </c>
      <c r="AN28" s="22">
        <f>Category122120[[#This Row],[US Total Hours]]/SUM([1]!NonNurse[MDScensus])*60</f>
        <v>1.3722398038721</v>
      </c>
      <c r="AO28" s="23">
        <f>COUNTIF([1]!NonNurse[Hrs_RespTher], 0)</f>
        <v>12688</v>
      </c>
    </row>
    <row r="29" spans="20:42" s="9" customFormat="1" ht="15" customHeight="1" x14ac:dyDescent="0.2">
      <c r="V29" s="21" t="s">
        <v>251</v>
      </c>
      <c r="W29" s="23">
        <f>SUMIF([1]!NonNurse[STATE], State112019[[#This Row],[State]], [1]!NonNurse[MDScensus])</f>
        <v>3234.2777777777724</v>
      </c>
      <c r="X29" s="23">
        <f>COUNTIF([1]!NonNurse[STATE], State112019[[#This Row],[State]])</f>
        <v>58</v>
      </c>
      <c r="Y29" s="22">
        <f>SUMIF([1]!NonNurse[STATE], State112019[[#This Row],[State]], [1]!NonNurse[Hrs_Admin])/SUMIF([1]!NonNurse[STATE], State112019[[#This Row],[State]], [1]!NonNurse[MDScensus])*60</f>
        <v>4.8330295274576205</v>
      </c>
      <c r="Z29" s="23">
        <f>RANK(State112019[[#This Row],[Total Admin MPRD]],State112019[Total Admin MPRD])</f>
        <v>16</v>
      </c>
      <c r="AA29" s="22">
        <f>SUMIF([1]!NonNurse[STATE], State112019[[#This Row],[State]], [1]!NonNurse[Hrs_MedDir])/SUMIF([1]!NonNurse[STATE], State112019[[#This Row],[State]], [1]!NonNurse[MDScensus])*60</f>
        <v>0.38150299740625637</v>
      </c>
      <c r="AB29" s="23">
        <f>RANK(State112019[[#This Row],[Total MedDir MPRD]],State112019[Total MedDir MPRD])</f>
        <v>7</v>
      </c>
      <c r="AC29" s="22">
        <f>(SUMIF([1]!NonNurse[STATE], State112019[[#This Row],[State]], [1]!NonNurse[Hrs_QualSocWrk]) + SUMIF([1]!NonNurse[STATE], State112019[[#This Row],[State]], [1]!NonNurse[Hrs_OthSocWrk])) / SUMIF([1]!NonNurse[STATE], State112019[[#This Row],[State]], [1]!NonNurse[MDScensus]) * 60</f>
        <v>7.4081185907896332</v>
      </c>
      <c r="AD29" s="23">
        <f>RANK(State112019[[#This Row],[Total Social Work MPRD]],State112019[Total Social Work MPRD])</f>
        <v>10</v>
      </c>
      <c r="AE29" s="22">
        <f>(SUMIF([1]!NonNurse[STATE], State112019[[#This Row],[State]], [1]!NonNurse[Hrs_OT]) + SUMIF([1]!NonNurse[STATE], State112019[[#This Row],[State]], [1]!NonNurse[Hrs_OTasst]) + SUMIF([1]!NonNurse[STATE], State112019[[#This Row],[State]], [1]!NonNurse[Hrs_OTaide])) / SUMIF([1]!NonNurse[STATE], State112019[[#This Row],[State]], [1]!NonNurse[MDScensus]) * 60</f>
        <v>5.7346671934314699</v>
      </c>
      <c r="AF29" s="23">
        <f>RANK(State112019[[#This Row],[Total OT MPRD]],State112019[Total OT MPRD])</f>
        <v>45</v>
      </c>
      <c r="AG29" s="22">
        <f>(SUMIF([1]!NonNurse[STATE], State112019[[#This Row],[State]], [1]!NonNurse[Hrs_PT]) + SUMIF([1]!NonNurse[STATE], State112019[[#This Row],[State]], [1]!NonNurse[Hrs_PTasst]) + SUMIF([1]!NonNurse[STATE], State112019[[#This Row],[State]], [1]!NonNurse[Hrs_PTaide])) / SUMIF([1]!NonNurse[STATE], State112019[[#This Row],[State]], [1]!NonNurse[MDScensus]) * 60</f>
        <v>8.0954023738770413</v>
      </c>
      <c r="AH29" s="23">
        <f>RANK(State112019[[#This Row],[Total PT MPRD]],State112019[Total PT MPRD])</f>
        <v>36</v>
      </c>
      <c r="AI29" s="22">
        <f>(SUMIF([1]!NonNurse[STATE], State112019[[#This Row],[State]], [1]!NonNurse[Hrs_QualActvProf]) + SUMIF([1]!NonNurse[STATE], State112019[[#This Row],[State]], [1]!NonNurse[Hrs_OthActv])) / SUMIF([1]!NonNurse[STATE], State112019[[#This Row],[State]], [1]!NonNurse[MDScensus]) * 60</f>
        <v>10.950543655633233</v>
      </c>
      <c r="AJ29" s="20">
        <f>RANK(State112019[[#This Row],[Total Activities MPRD]], State112019[Total Activities MPRD])</f>
        <v>22</v>
      </c>
      <c r="AL29" s="23" t="s">
        <v>250</v>
      </c>
      <c r="AM29" s="23">
        <f>SUM([1]!NonNurse[Hrs_RespTech])</f>
        <v>1378.6356666666634</v>
      </c>
      <c r="AN29" s="22">
        <f>Category122120[[#This Row],[US Total Hours]]/SUM([1]!NonNurse[MDScensus])*60</f>
        <v>6.686762795174947E-2</v>
      </c>
      <c r="AO29" s="23">
        <f>COUNTIF([1]!NonNurse[Hrs_RespTech], 0)</f>
        <v>14427</v>
      </c>
    </row>
    <row r="30" spans="20:42" s="9" customFormat="1" ht="15" customHeight="1" x14ac:dyDescent="0.2">
      <c r="V30" s="21" t="s">
        <v>249</v>
      </c>
      <c r="W30" s="23">
        <f>SUMIF([1]!NonNurse[STATE], State112019[[#This Row],[State]], [1]!NonNurse[MDScensus])</f>
        <v>35163.388888888796</v>
      </c>
      <c r="X30" s="23">
        <f>COUNTIF([1]!NonNurse[STATE], State112019[[#This Row],[State]])</f>
        <v>411</v>
      </c>
      <c r="Y30" s="22">
        <f>SUMIF([1]!NonNurse[STATE], State112019[[#This Row],[State]], [1]!NonNurse[Hrs_Admin])/SUMIF([1]!NonNurse[STATE], State112019[[#This Row],[State]], [1]!NonNurse[MDScensus])*60</f>
        <v>3.8664544088627566</v>
      </c>
      <c r="Z30" s="23">
        <f>RANK(State112019[[#This Row],[Total Admin MPRD]],State112019[Total Admin MPRD])</f>
        <v>32</v>
      </c>
      <c r="AA30" s="22">
        <f>SUMIF([1]!NonNurse[STATE], State112019[[#This Row],[State]], [1]!NonNurse[Hrs_MedDir])/SUMIF([1]!NonNurse[STATE], State112019[[#This Row],[State]], [1]!NonNurse[MDScensus])*60</f>
        <v>0.24827887591418515</v>
      </c>
      <c r="AB30" s="23">
        <f>RANK(State112019[[#This Row],[Total MedDir MPRD]],State112019[Total MedDir MPRD])</f>
        <v>30</v>
      </c>
      <c r="AC30" s="22">
        <f>(SUMIF([1]!NonNurse[STATE], State112019[[#This Row],[State]], [1]!NonNurse[Hrs_QualSocWrk]) + SUMIF([1]!NonNurse[STATE], State112019[[#This Row],[State]], [1]!NonNurse[Hrs_OthSocWrk])) / SUMIF([1]!NonNurse[STATE], State112019[[#This Row],[State]], [1]!NonNurse[MDScensus]) * 60</f>
        <v>4.7835406459685874</v>
      </c>
      <c r="AD30" s="23">
        <f>RANK(State112019[[#This Row],[Total Social Work MPRD]],State112019[Total Social Work MPRD])</f>
        <v>38</v>
      </c>
      <c r="AE30" s="22">
        <f>(SUMIF([1]!NonNurse[STATE], State112019[[#This Row],[State]], [1]!NonNurse[Hrs_OT]) + SUMIF([1]!NonNurse[STATE], State112019[[#This Row],[State]], [1]!NonNurse[Hrs_OTasst]) + SUMIF([1]!NonNurse[STATE], State112019[[#This Row],[State]], [1]!NonNurse[Hrs_OTaide])) / SUMIF([1]!NonNurse[STATE], State112019[[#This Row],[State]], [1]!NonNurse[MDScensus]) * 60</f>
        <v>8.9719185200516378</v>
      </c>
      <c r="AF30" s="23">
        <f>RANK(State112019[[#This Row],[Total OT MPRD]],State112019[Total OT MPRD])</f>
        <v>13</v>
      </c>
      <c r="AG30" s="22">
        <f>(SUMIF([1]!NonNurse[STATE], State112019[[#This Row],[State]], [1]!NonNurse[Hrs_PT]) + SUMIF([1]!NonNurse[STATE], State112019[[#This Row],[State]], [1]!NonNurse[Hrs_PTasst]) + SUMIF([1]!NonNurse[STATE], State112019[[#This Row],[State]], [1]!NonNurse[Hrs_PTaide])) / SUMIF([1]!NonNurse[STATE], State112019[[#This Row],[State]], [1]!NonNurse[MDScensus]) * 60</f>
        <v>9.7738400893606254</v>
      </c>
      <c r="AH30" s="23">
        <f>RANK(State112019[[#This Row],[Total PT MPRD]],State112019[Total PT MPRD])</f>
        <v>19</v>
      </c>
      <c r="AI30" s="22">
        <f>(SUMIF([1]!NonNurse[STATE], State112019[[#This Row],[State]], [1]!NonNurse[Hrs_QualActvProf]) + SUMIF([1]!NonNurse[STATE], State112019[[#This Row],[State]], [1]!NonNurse[Hrs_OthActv])) / SUMIF([1]!NonNurse[STATE], State112019[[#This Row],[State]], [1]!NonNurse[MDScensus]) * 60</f>
        <v>7.2399756691382056</v>
      </c>
      <c r="AJ30" s="20">
        <f>RANK(State112019[[#This Row],[Total Activities MPRD]], State112019[Total Activities MPRD])</f>
        <v>42</v>
      </c>
      <c r="AL30" s="23" t="s">
        <v>248</v>
      </c>
      <c r="AM30" s="23">
        <f>SUM([1]!NonNurse[Hrs_OthMD])</f>
        <v>2203.4099999999949</v>
      </c>
      <c r="AN30" s="22">
        <f>Category122120[[#This Row],[US Total Hours]]/SUM([1]!NonNurse[MDScensus])*60</f>
        <v>0.10687145535803703</v>
      </c>
      <c r="AO30" s="23">
        <f>COUNTIF([1]!NonNurse[Hrs_OthMD], 0)</f>
        <v>13245</v>
      </c>
    </row>
    <row r="31" spans="20:42" s="9" customFormat="1" ht="15" customHeight="1" x14ac:dyDescent="0.2">
      <c r="V31" s="21" t="s">
        <v>247</v>
      </c>
      <c r="W31" s="23">
        <f>SUMIF([1]!NonNurse[STATE], State112019[[#This Row],[State]], [1]!NonNurse[MDScensus])</f>
        <v>4412.6555555555478</v>
      </c>
      <c r="X31" s="23">
        <f>COUNTIF([1]!NonNurse[STATE], State112019[[#This Row],[State]])</f>
        <v>71</v>
      </c>
      <c r="Y31" s="22">
        <f>SUMIF([1]!NonNurse[STATE], State112019[[#This Row],[State]], [1]!NonNurse[Hrs_Admin])/SUMIF([1]!NonNurse[STATE], State112019[[#This Row],[State]], [1]!NonNurse[MDScensus])*60</f>
        <v>4.8465962798919291</v>
      </c>
      <c r="Z31" s="23">
        <f>RANK(State112019[[#This Row],[Total Admin MPRD]],State112019[Total Admin MPRD])</f>
        <v>15</v>
      </c>
      <c r="AA31" s="22">
        <f>SUMIF([1]!NonNurse[STATE], State112019[[#This Row],[State]], [1]!NonNurse[Hrs_MedDir])/SUMIF([1]!NonNurse[STATE], State112019[[#This Row],[State]], [1]!NonNurse[MDScensus])*60</f>
        <v>0.20556782386015976</v>
      </c>
      <c r="AB31" s="23">
        <f>RANK(State112019[[#This Row],[Total MedDir MPRD]],State112019[Total MedDir MPRD])</f>
        <v>41</v>
      </c>
      <c r="AC31" s="22">
        <f>(SUMIF([1]!NonNurse[STATE], State112019[[#This Row],[State]], [1]!NonNurse[Hrs_QualSocWrk]) + SUMIF([1]!NonNurse[STATE], State112019[[#This Row],[State]], [1]!NonNurse[Hrs_OthSocWrk])) / SUMIF([1]!NonNurse[STATE], State112019[[#This Row],[State]], [1]!NonNurse[MDScensus]) * 60</f>
        <v>7.5272904449071971</v>
      </c>
      <c r="AD31" s="23">
        <f>RANK(State112019[[#This Row],[Total Social Work MPRD]],State112019[Total Social Work MPRD])</f>
        <v>8</v>
      </c>
      <c r="AE31" s="22">
        <f>(SUMIF([1]!NonNurse[STATE], State112019[[#This Row],[State]], [1]!NonNurse[Hrs_OT]) + SUMIF([1]!NonNurse[STATE], State112019[[#This Row],[State]], [1]!NonNurse[Hrs_OTasst]) + SUMIF([1]!NonNurse[STATE], State112019[[#This Row],[State]], [1]!NonNurse[Hrs_OTaide])) / SUMIF([1]!NonNurse[STATE], State112019[[#This Row],[State]], [1]!NonNurse[MDScensus]) * 60</f>
        <v>4.5464671059754878</v>
      </c>
      <c r="AF31" s="23">
        <f>RANK(State112019[[#This Row],[Total OT MPRD]],State112019[Total OT MPRD])</f>
        <v>51</v>
      </c>
      <c r="AG31" s="22">
        <f>(SUMIF([1]!NonNurse[STATE], State112019[[#This Row],[State]], [1]!NonNurse[Hrs_PT]) + SUMIF([1]!NonNurse[STATE], State112019[[#This Row],[State]], [1]!NonNurse[Hrs_PTasst]) + SUMIF([1]!NonNurse[STATE], State112019[[#This Row],[State]], [1]!NonNurse[Hrs_PTaide])) / SUMIF([1]!NonNurse[STATE], State112019[[#This Row],[State]], [1]!NonNurse[MDScensus]) * 60</f>
        <v>5.1260546055663125</v>
      </c>
      <c r="AH31" s="23">
        <f>RANK(State112019[[#This Row],[Total PT MPRD]],State112019[Total PT MPRD])</f>
        <v>51</v>
      </c>
      <c r="AI31" s="22">
        <f>(SUMIF([1]!NonNurse[STATE], State112019[[#This Row],[State]], [1]!NonNurse[Hrs_QualActvProf]) + SUMIF([1]!NonNurse[STATE], State112019[[#This Row],[State]], [1]!NonNurse[Hrs_OthActv])) / SUMIF([1]!NonNurse[STATE], State112019[[#This Row],[State]], [1]!NonNurse[MDScensus]) * 60</f>
        <v>16.62758228227397</v>
      </c>
      <c r="AJ31" s="20">
        <f>RANK(State112019[[#This Row],[Total Activities MPRD]], State112019[Total Activities MPRD])</f>
        <v>2</v>
      </c>
      <c r="AM31" s="21"/>
    </row>
    <row r="32" spans="20:42" s="9" customFormat="1" ht="15" customHeight="1" x14ac:dyDescent="0.2">
      <c r="V32" s="21" t="s">
        <v>246</v>
      </c>
      <c r="W32" s="23">
        <f>SUMIF([1]!NonNurse[STATE], State112019[[#This Row],[State]], [1]!NonNurse[MDScensus])</f>
        <v>9710.5777777777657</v>
      </c>
      <c r="X32" s="23">
        <f>COUNTIF([1]!NonNurse[STATE], State112019[[#This Row],[State]])</f>
        <v>180</v>
      </c>
      <c r="Y32" s="22">
        <f>SUMIF([1]!NonNurse[STATE], State112019[[#This Row],[State]], [1]!NonNurse[Hrs_Admin])/SUMIF([1]!NonNurse[STATE], State112019[[#This Row],[State]], [1]!NonNurse[MDScensus])*60</f>
        <v>5.4156873604042293</v>
      </c>
      <c r="Z32" s="23">
        <f>RANK(State112019[[#This Row],[Total Admin MPRD]],State112019[Total Admin MPRD])</f>
        <v>10</v>
      </c>
      <c r="AA32" s="22">
        <f>SUMIF([1]!NonNurse[STATE], State112019[[#This Row],[State]], [1]!NonNurse[Hrs_MedDir])/SUMIF([1]!NonNurse[STATE], State112019[[#This Row],[State]], [1]!NonNurse[MDScensus])*60</f>
        <v>0.11430833729998892</v>
      </c>
      <c r="AB32" s="23">
        <f>RANK(State112019[[#This Row],[Total MedDir MPRD]],State112019[Total MedDir MPRD])</f>
        <v>52</v>
      </c>
      <c r="AC32" s="22">
        <f>(SUMIF([1]!NonNurse[STATE], State112019[[#This Row],[State]], [1]!NonNurse[Hrs_QualSocWrk]) + SUMIF([1]!NonNurse[STATE], State112019[[#This Row],[State]], [1]!NonNurse[Hrs_OthSocWrk])) / SUMIF([1]!NonNurse[STATE], State112019[[#This Row],[State]], [1]!NonNurse[MDScensus]) * 60</f>
        <v>7.0909539654351681</v>
      </c>
      <c r="AD32" s="23">
        <f>RANK(State112019[[#This Row],[Total Social Work MPRD]],State112019[Total Social Work MPRD])</f>
        <v>12</v>
      </c>
      <c r="AE32" s="22">
        <f>(SUMIF([1]!NonNurse[STATE], State112019[[#This Row],[State]], [1]!NonNurse[Hrs_OT]) + SUMIF([1]!NonNurse[STATE], State112019[[#This Row],[State]], [1]!NonNurse[Hrs_OTasst]) + SUMIF([1]!NonNurse[STATE], State112019[[#This Row],[State]], [1]!NonNurse[Hrs_OTaide])) / SUMIF([1]!NonNurse[STATE], State112019[[#This Row],[State]], [1]!NonNurse[MDScensus]) * 60</f>
        <v>5.351347900113506</v>
      </c>
      <c r="AF32" s="23">
        <f>RANK(State112019[[#This Row],[Total OT MPRD]],State112019[Total OT MPRD])</f>
        <v>47</v>
      </c>
      <c r="AG32" s="22">
        <f>(SUMIF([1]!NonNurse[STATE], State112019[[#This Row],[State]], [1]!NonNurse[Hrs_PT]) + SUMIF([1]!NonNurse[STATE], State112019[[#This Row],[State]], [1]!NonNurse[Hrs_PTasst]) + SUMIF([1]!NonNurse[STATE], State112019[[#This Row],[State]], [1]!NonNurse[Hrs_PTaide])) / SUMIF([1]!NonNurse[STATE], State112019[[#This Row],[State]], [1]!NonNurse[MDScensus]) * 60</f>
        <v>6.4180032770678448</v>
      </c>
      <c r="AH32" s="23">
        <f>RANK(State112019[[#This Row],[Total PT MPRD]],State112019[Total PT MPRD])</f>
        <v>46</v>
      </c>
      <c r="AI32" s="22">
        <f>(SUMIF([1]!NonNurse[STATE], State112019[[#This Row],[State]], [1]!NonNurse[Hrs_QualActvProf]) + SUMIF([1]!NonNurse[STATE], State112019[[#This Row],[State]], [1]!NonNurse[Hrs_OthActv])) / SUMIF([1]!NonNurse[STATE], State112019[[#This Row],[State]], [1]!NonNurse[MDScensus]) * 60</f>
        <v>9.7151987752187718</v>
      </c>
      <c r="AJ32" s="20">
        <f>RANK(State112019[[#This Row],[Total Activities MPRD]], State112019[Total Activities MPRD])</f>
        <v>29</v>
      </c>
      <c r="AM32" s="24"/>
    </row>
    <row r="33" spans="22:40" s="9" customFormat="1" ht="15" customHeight="1" x14ac:dyDescent="0.2">
      <c r="V33" s="21" t="s">
        <v>245</v>
      </c>
      <c r="W33" s="23">
        <f>SUMIF([1]!NonNurse[STATE], State112019[[#This Row],[State]], [1]!NonNurse[MDScensus])</f>
        <v>5933.1777777777661</v>
      </c>
      <c r="X33" s="23">
        <f>COUNTIF([1]!NonNurse[STATE], State112019[[#This Row],[State]])</f>
        <v>74</v>
      </c>
      <c r="Y33" s="22">
        <f>SUMIF([1]!NonNurse[STATE], State112019[[#This Row],[State]], [1]!NonNurse[Hrs_Admin])/SUMIF([1]!NonNurse[STATE], State112019[[#This Row],[State]], [1]!NonNurse[MDScensus])*60</f>
        <v>4.1282149719281049</v>
      </c>
      <c r="Z33" s="23">
        <f>RANK(State112019[[#This Row],[Total Admin MPRD]],State112019[Total Admin MPRD])</f>
        <v>26</v>
      </c>
      <c r="AA33" s="22">
        <f>SUMIF([1]!NonNurse[STATE], State112019[[#This Row],[State]], [1]!NonNurse[Hrs_MedDir])/SUMIF([1]!NonNurse[STATE], State112019[[#This Row],[State]], [1]!NonNurse[MDScensus])*60</f>
        <v>0.36655118298981626</v>
      </c>
      <c r="AB33" s="23">
        <f>RANK(State112019[[#This Row],[Total MedDir MPRD]],State112019[Total MedDir MPRD])</f>
        <v>9</v>
      </c>
      <c r="AC33" s="22">
        <f>(SUMIF([1]!NonNurse[STATE], State112019[[#This Row],[State]], [1]!NonNurse[Hrs_QualSocWrk]) + SUMIF([1]!NonNurse[STATE], State112019[[#This Row],[State]], [1]!NonNurse[Hrs_OthSocWrk])) / SUMIF([1]!NonNurse[STATE], State112019[[#This Row],[State]], [1]!NonNurse[MDScensus]) * 60</f>
        <v>5.88425426883851</v>
      </c>
      <c r="AD33" s="23">
        <f>RANK(State112019[[#This Row],[Total Social Work MPRD]],State112019[Total Social Work MPRD])</f>
        <v>21</v>
      </c>
      <c r="AE33" s="22">
        <f>(SUMIF([1]!NonNurse[STATE], State112019[[#This Row],[State]], [1]!NonNurse[Hrs_OT]) + SUMIF([1]!NonNurse[STATE], State112019[[#This Row],[State]], [1]!NonNurse[Hrs_OTasst]) + SUMIF([1]!NonNurse[STATE], State112019[[#This Row],[State]], [1]!NonNurse[Hrs_OTaide])) / SUMIF([1]!NonNurse[STATE], State112019[[#This Row],[State]], [1]!NonNurse[MDScensus]) * 60</f>
        <v>6.7990018464903619</v>
      </c>
      <c r="AF33" s="23">
        <f>RANK(State112019[[#This Row],[Total OT MPRD]],State112019[Total OT MPRD])</f>
        <v>39</v>
      </c>
      <c r="AG33" s="22">
        <f>(SUMIF([1]!NonNurse[STATE], State112019[[#This Row],[State]], [1]!NonNurse[Hrs_PT]) + SUMIF([1]!NonNurse[STATE], State112019[[#This Row],[State]], [1]!NonNurse[Hrs_PTasst]) + SUMIF([1]!NonNurse[STATE], State112019[[#This Row],[State]], [1]!NonNurse[Hrs_PTaide])) / SUMIF([1]!NonNurse[STATE], State112019[[#This Row],[State]], [1]!NonNurse[MDScensus]) * 60</f>
        <v>7.1744476446948084</v>
      </c>
      <c r="AH33" s="23">
        <f>RANK(State112019[[#This Row],[Total PT MPRD]],State112019[Total PT MPRD])</f>
        <v>40</v>
      </c>
      <c r="AI33" s="22">
        <f>(SUMIF([1]!NonNurse[STATE], State112019[[#This Row],[State]], [1]!NonNurse[Hrs_QualActvProf]) + SUMIF([1]!NonNurse[STATE], State112019[[#This Row],[State]], [1]!NonNurse[Hrs_OthActv])) / SUMIF([1]!NonNurse[STATE], State112019[[#This Row],[State]], [1]!NonNurse[MDScensus]) * 60</f>
        <v>13.071996644106779</v>
      </c>
      <c r="AJ33" s="20">
        <f>RANK(State112019[[#This Row],[Total Activities MPRD]], State112019[Total Activities MPRD])</f>
        <v>11</v>
      </c>
      <c r="AL33" s="21"/>
      <c r="AM33" s="24"/>
    </row>
    <row r="34" spans="22:40" s="9" customFormat="1" ht="15" customHeight="1" x14ac:dyDescent="0.2">
      <c r="V34" s="21" t="s">
        <v>244</v>
      </c>
      <c r="W34" s="23">
        <f>SUMIF([1]!NonNurse[STATE], State112019[[#This Row],[State]], [1]!NonNurse[MDScensus])</f>
        <v>41396.233333333243</v>
      </c>
      <c r="X34" s="23">
        <f>COUNTIF([1]!NonNurse[STATE], State112019[[#This Row],[State]])</f>
        <v>344</v>
      </c>
      <c r="Y34" s="22">
        <f>SUMIF([1]!NonNurse[STATE], State112019[[#This Row],[State]], [1]!NonNurse[Hrs_Admin])/SUMIF([1]!NonNurse[STATE], State112019[[#This Row],[State]], [1]!NonNurse[MDScensus])*60</f>
        <v>2.8145256371956555</v>
      </c>
      <c r="Z34" s="23">
        <f>RANK(State112019[[#This Row],[Total Admin MPRD]],State112019[Total Admin MPRD])</f>
        <v>50</v>
      </c>
      <c r="AA34" s="22">
        <f>SUMIF([1]!NonNurse[STATE], State112019[[#This Row],[State]], [1]!NonNurse[Hrs_MedDir])/SUMIF([1]!NonNurse[STATE], State112019[[#This Row],[State]], [1]!NonNurse[MDScensus])*60</f>
        <v>0.2383989847707563</v>
      </c>
      <c r="AB34" s="23">
        <f>RANK(State112019[[#This Row],[Total MedDir MPRD]],State112019[Total MedDir MPRD])</f>
        <v>32</v>
      </c>
      <c r="AC34" s="22">
        <f>(SUMIF([1]!NonNurse[STATE], State112019[[#This Row],[State]], [1]!NonNurse[Hrs_QualSocWrk]) + SUMIF([1]!NonNurse[STATE], State112019[[#This Row],[State]], [1]!NonNurse[Hrs_OthSocWrk])) / SUMIF([1]!NonNurse[STATE], State112019[[#This Row],[State]], [1]!NonNurse[MDScensus]) * 60</f>
        <v>4.7161827122757565</v>
      </c>
      <c r="AD34" s="23">
        <f>RANK(State112019[[#This Row],[Total Social Work MPRD]],State112019[Total Social Work MPRD])</f>
        <v>41</v>
      </c>
      <c r="AE34" s="22">
        <f>(SUMIF([1]!NonNurse[STATE], State112019[[#This Row],[State]], [1]!NonNurse[Hrs_OT]) + SUMIF([1]!NonNurse[STATE], State112019[[#This Row],[State]], [1]!NonNurse[Hrs_OTasst]) + SUMIF([1]!NonNurse[STATE], State112019[[#This Row],[State]], [1]!NonNurse[Hrs_OTaide])) / SUMIF([1]!NonNurse[STATE], State112019[[#This Row],[State]], [1]!NonNurse[MDScensus]) * 60</f>
        <v>8.7922368138163947</v>
      </c>
      <c r="AF34" s="23">
        <f>RANK(State112019[[#This Row],[Total OT MPRD]],State112019[Total OT MPRD])</f>
        <v>14</v>
      </c>
      <c r="AG34" s="22">
        <f>(SUMIF([1]!NonNurse[STATE], State112019[[#This Row],[State]], [1]!NonNurse[Hrs_PT]) + SUMIF([1]!NonNurse[STATE], State112019[[#This Row],[State]], [1]!NonNurse[Hrs_PTasst]) + SUMIF([1]!NonNurse[STATE], State112019[[#This Row],[State]], [1]!NonNurse[Hrs_PTaide])) / SUMIF([1]!NonNurse[STATE], State112019[[#This Row],[State]], [1]!NonNurse[MDScensus]) * 60</f>
        <v>8.8020636338088742</v>
      </c>
      <c r="AH34" s="23">
        <f>RANK(State112019[[#This Row],[Total PT MPRD]],State112019[Total PT MPRD])</f>
        <v>29</v>
      </c>
      <c r="AI34" s="22">
        <f>(SUMIF([1]!NonNurse[STATE], State112019[[#This Row],[State]], [1]!NonNurse[Hrs_QualActvProf]) + SUMIF([1]!NonNurse[STATE], State112019[[#This Row],[State]], [1]!NonNurse[Hrs_OthActv])) / SUMIF([1]!NonNurse[STATE], State112019[[#This Row],[State]], [1]!NonNurse[MDScensus]) * 60</f>
        <v>14.358302969593854</v>
      </c>
      <c r="AJ34" s="20">
        <f>RANK(State112019[[#This Row],[Total Activities MPRD]], State112019[Total Activities MPRD])</f>
        <v>9</v>
      </c>
      <c r="AL34" s="21"/>
      <c r="AM34" s="24"/>
      <c r="AN34" s="22"/>
    </row>
    <row r="35" spans="22:40" s="9" customFormat="1" ht="15" customHeight="1" x14ac:dyDescent="0.2">
      <c r="V35" s="21" t="s">
        <v>243</v>
      </c>
      <c r="W35" s="23">
        <f>SUMIF([1]!NonNurse[STATE], State112019[[#This Row],[State]], [1]!NonNurse[MDScensus])</f>
        <v>5550.9888888888781</v>
      </c>
      <c r="X35" s="23">
        <f>COUNTIF([1]!NonNurse[STATE], State112019[[#This Row],[State]])</f>
        <v>68</v>
      </c>
      <c r="Y35" s="22">
        <f>SUMIF([1]!NonNurse[STATE], State112019[[#This Row],[State]], [1]!NonNurse[Hrs_Admin])/SUMIF([1]!NonNurse[STATE], State112019[[#This Row],[State]], [1]!NonNurse[MDScensus])*60</f>
        <v>3.9118002998464791</v>
      </c>
      <c r="Z35" s="23">
        <f>RANK(State112019[[#This Row],[Total Admin MPRD]],State112019[Total Admin MPRD])</f>
        <v>31</v>
      </c>
      <c r="AA35" s="22">
        <f>SUMIF([1]!NonNurse[STATE], State112019[[#This Row],[State]], [1]!NonNurse[Hrs_MedDir])/SUMIF([1]!NonNurse[STATE], State112019[[#This Row],[State]], [1]!NonNurse[MDScensus])*60</f>
        <v>0.26735656709815497</v>
      </c>
      <c r="AB35" s="23">
        <f>RANK(State112019[[#This Row],[Total MedDir MPRD]],State112019[Total MedDir MPRD])</f>
        <v>24</v>
      </c>
      <c r="AC35" s="22">
        <f>(SUMIF([1]!NonNurse[STATE], State112019[[#This Row],[State]], [1]!NonNurse[Hrs_QualSocWrk]) + SUMIF([1]!NonNurse[STATE], State112019[[#This Row],[State]], [1]!NonNurse[Hrs_OthSocWrk])) / SUMIF([1]!NonNurse[STATE], State112019[[#This Row],[State]], [1]!NonNurse[MDScensus]) * 60</f>
        <v>4.7708364275434425</v>
      </c>
      <c r="AD35" s="23">
        <f>RANK(State112019[[#This Row],[Total Social Work MPRD]],State112019[Total Social Work MPRD])</f>
        <v>39</v>
      </c>
      <c r="AE35" s="22">
        <f>(SUMIF([1]!NonNurse[STATE], State112019[[#This Row],[State]], [1]!NonNurse[Hrs_OT]) + SUMIF([1]!NonNurse[STATE], State112019[[#This Row],[State]], [1]!NonNurse[Hrs_OTasst]) + SUMIF([1]!NonNurse[STATE], State112019[[#This Row],[State]], [1]!NonNurse[Hrs_OTaide])) / SUMIF([1]!NonNurse[STATE], State112019[[#This Row],[State]], [1]!NonNurse[MDScensus]) * 60</f>
        <v>7.767025695121391</v>
      </c>
      <c r="AF35" s="23">
        <f>RANK(State112019[[#This Row],[Total OT MPRD]],State112019[Total OT MPRD])</f>
        <v>30</v>
      </c>
      <c r="AG35" s="22">
        <f>(SUMIF([1]!NonNurse[STATE], State112019[[#This Row],[State]], [1]!NonNurse[Hrs_PT]) + SUMIF([1]!NonNurse[STATE], State112019[[#This Row],[State]], [1]!NonNurse[Hrs_PTasst]) + SUMIF([1]!NonNurse[STATE], State112019[[#This Row],[State]], [1]!NonNurse[Hrs_PTaide])) / SUMIF([1]!NonNurse[STATE], State112019[[#This Row],[State]], [1]!NonNurse[MDScensus]) * 60</f>
        <v>9.8433152050985893</v>
      </c>
      <c r="AH35" s="23">
        <f>RANK(State112019[[#This Row],[Total PT MPRD]],State112019[Total PT MPRD])</f>
        <v>18</v>
      </c>
      <c r="AI35" s="22">
        <f>(SUMIF([1]!NonNurse[STATE], State112019[[#This Row],[State]], [1]!NonNurse[Hrs_QualActvProf]) + SUMIF([1]!NonNurse[STATE], State112019[[#This Row],[State]], [1]!NonNurse[Hrs_OthActv])) / SUMIF([1]!NonNurse[STATE], State112019[[#This Row],[State]], [1]!NonNurse[MDScensus]) * 60</f>
        <v>15.827199157707641</v>
      </c>
      <c r="AJ35" s="20">
        <f>RANK(State112019[[#This Row],[Total Activities MPRD]], State112019[Total Activities MPRD])</f>
        <v>4</v>
      </c>
      <c r="AL35" s="21"/>
      <c r="AM35" s="23"/>
    </row>
    <row r="36" spans="22:40" s="9" customFormat="1" ht="15" customHeight="1" x14ac:dyDescent="0.2">
      <c r="V36" s="21" t="s">
        <v>242</v>
      </c>
      <c r="W36" s="23">
        <f>SUMIF([1]!NonNurse[STATE], State112019[[#This Row],[State]], [1]!NonNurse[MDScensus])</f>
        <v>5968.6444444444342</v>
      </c>
      <c r="X36" s="23">
        <f>COUNTIF([1]!NonNurse[STATE], State112019[[#This Row],[State]])</f>
        <v>66</v>
      </c>
      <c r="Y36" s="22">
        <f>SUMIF([1]!NonNurse[STATE], State112019[[#This Row],[State]], [1]!NonNurse[Hrs_Admin])/SUMIF([1]!NonNurse[STATE], State112019[[#This Row],[State]], [1]!NonNurse[MDScensus])*60</f>
        <v>3.3450822632349082</v>
      </c>
      <c r="Z36" s="23">
        <f>RANK(State112019[[#This Row],[Total Admin MPRD]],State112019[Total Admin MPRD])</f>
        <v>42</v>
      </c>
      <c r="AA36" s="22">
        <f>SUMIF([1]!NonNurse[STATE], State112019[[#This Row],[State]], [1]!NonNurse[Hrs_MedDir])/SUMIF([1]!NonNurse[STATE], State112019[[#This Row],[State]], [1]!NonNurse[MDScensus])*60</f>
        <v>0.29789008485083157</v>
      </c>
      <c r="AB36" s="23">
        <f>RANK(State112019[[#This Row],[Total MedDir MPRD]],State112019[Total MedDir MPRD])</f>
        <v>18</v>
      </c>
      <c r="AC36" s="22">
        <f>(SUMIF([1]!NonNurse[STATE], State112019[[#This Row],[State]], [1]!NonNurse[Hrs_QualSocWrk]) + SUMIF([1]!NonNurse[STATE], State112019[[#This Row],[State]], [1]!NonNurse[Hrs_OthSocWrk])) / SUMIF([1]!NonNurse[STATE], State112019[[#This Row],[State]], [1]!NonNurse[MDScensus]) * 60</f>
        <v>6.4991094199687991</v>
      </c>
      <c r="AD36" s="23">
        <f>RANK(State112019[[#This Row],[Total Social Work MPRD]],State112019[Total Social Work MPRD])</f>
        <v>17</v>
      </c>
      <c r="AE36" s="22">
        <f>(SUMIF([1]!NonNurse[STATE], State112019[[#This Row],[State]], [1]!NonNurse[Hrs_OT]) + SUMIF([1]!NonNurse[STATE], State112019[[#This Row],[State]], [1]!NonNurse[Hrs_OTasst]) + SUMIF([1]!NonNurse[STATE], State112019[[#This Row],[State]], [1]!NonNurse[Hrs_OTaide])) / SUMIF([1]!NonNurse[STATE], State112019[[#This Row],[State]], [1]!NonNurse[MDScensus]) * 60</f>
        <v>10.277413445822422</v>
      </c>
      <c r="AF36" s="23">
        <f>RANK(State112019[[#This Row],[Total OT MPRD]],State112019[Total OT MPRD])</f>
        <v>8</v>
      </c>
      <c r="AG36" s="22">
        <f>(SUMIF([1]!NonNurse[STATE], State112019[[#This Row],[State]], [1]!NonNurse[Hrs_PT]) + SUMIF([1]!NonNurse[STATE], State112019[[#This Row],[State]], [1]!NonNurse[Hrs_PTasst]) + SUMIF([1]!NonNurse[STATE], State112019[[#This Row],[State]], [1]!NonNurse[Hrs_PTaide])) / SUMIF([1]!NonNurse[STATE], State112019[[#This Row],[State]], [1]!NonNurse[MDScensus]) * 60</f>
        <v>11.65925261272799</v>
      </c>
      <c r="AH36" s="23">
        <f>RANK(State112019[[#This Row],[Total PT MPRD]],State112019[Total PT MPRD])</f>
        <v>9</v>
      </c>
      <c r="AI36" s="22">
        <f>(SUMIF([1]!NonNurse[STATE], State112019[[#This Row],[State]], [1]!NonNurse[Hrs_QualActvProf]) + SUMIF([1]!NonNurse[STATE], State112019[[#This Row],[State]], [1]!NonNurse[Hrs_OthActv])) / SUMIF([1]!NonNurse[STATE], State112019[[#This Row],[State]], [1]!NonNurse[MDScensus]) * 60</f>
        <v>9.186337117305623</v>
      </c>
      <c r="AJ36" s="20">
        <f>RANK(State112019[[#This Row],[Total Activities MPRD]], State112019[Total Activities MPRD])</f>
        <v>33</v>
      </c>
      <c r="AL36" s="21"/>
    </row>
    <row r="37" spans="22:40" s="9" customFormat="1" ht="15" customHeight="1" x14ac:dyDescent="0.2">
      <c r="V37" s="21" t="s">
        <v>241</v>
      </c>
      <c r="W37" s="23">
        <f>SUMIF([1]!NonNurse[STATE], State112019[[#This Row],[State]], [1]!NonNurse[MDScensus])</f>
        <v>99072.199999999793</v>
      </c>
      <c r="X37" s="23">
        <f>COUNTIF([1]!NonNurse[STATE], State112019[[#This Row],[State]])</f>
        <v>596</v>
      </c>
      <c r="Y37" s="22">
        <f>SUMIF([1]!NonNurse[STATE], State112019[[#This Row],[State]], [1]!NonNurse[Hrs_Admin])/SUMIF([1]!NonNurse[STATE], State112019[[#This Row],[State]], [1]!NonNurse[MDScensus])*60</f>
        <v>2.0120331771509417</v>
      </c>
      <c r="Z37" s="23">
        <f>RANK(State112019[[#This Row],[Total Admin MPRD]],State112019[Total Admin MPRD])</f>
        <v>52</v>
      </c>
      <c r="AA37" s="22">
        <f>SUMIF([1]!NonNurse[STATE], State112019[[#This Row],[State]], [1]!NonNurse[Hrs_MedDir])/SUMIF([1]!NonNurse[STATE], State112019[[#This Row],[State]], [1]!NonNurse[MDScensus])*60</f>
        <v>0.34705497606795854</v>
      </c>
      <c r="AB37" s="23">
        <f>RANK(State112019[[#This Row],[Total MedDir MPRD]],State112019[Total MedDir MPRD])</f>
        <v>11</v>
      </c>
      <c r="AC37" s="22">
        <f>(SUMIF([1]!NonNurse[STATE], State112019[[#This Row],[State]], [1]!NonNurse[Hrs_QualSocWrk]) + SUMIF([1]!NonNurse[STATE], State112019[[#This Row],[State]], [1]!NonNurse[Hrs_OthSocWrk])) / SUMIF([1]!NonNurse[STATE], State112019[[#This Row],[State]], [1]!NonNurse[MDScensus]) * 60</f>
        <v>4.8275099035518245</v>
      </c>
      <c r="AD37" s="23">
        <f>RANK(State112019[[#This Row],[Total Social Work MPRD]],State112019[Total Social Work MPRD])</f>
        <v>37</v>
      </c>
      <c r="AE37" s="22">
        <f>(SUMIF([1]!NonNurse[STATE], State112019[[#This Row],[State]], [1]!NonNurse[Hrs_OT]) + SUMIF([1]!NonNurse[STATE], State112019[[#This Row],[State]], [1]!NonNurse[Hrs_OTasst]) + SUMIF([1]!NonNurse[STATE], State112019[[#This Row],[State]], [1]!NonNurse[Hrs_OTaide])) / SUMIF([1]!NonNurse[STATE], State112019[[#This Row],[State]], [1]!NonNurse[MDScensus]) * 60</f>
        <v>9.4274327207834272</v>
      </c>
      <c r="AF37" s="23">
        <f>RANK(State112019[[#This Row],[Total OT MPRD]],State112019[Total OT MPRD])</f>
        <v>10</v>
      </c>
      <c r="AG37" s="22">
        <f>(SUMIF([1]!NonNurse[STATE], State112019[[#This Row],[State]], [1]!NonNurse[Hrs_PT]) + SUMIF([1]!NonNurse[STATE], State112019[[#This Row],[State]], [1]!NonNurse[Hrs_PTasst]) + SUMIF([1]!NonNurse[STATE], State112019[[#This Row],[State]], [1]!NonNurse[Hrs_PTaide])) / SUMIF([1]!NonNurse[STATE], State112019[[#This Row],[State]], [1]!NonNurse[MDScensus]) * 60</f>
        <v>11.112147235383217</v>
      </c>
      <c r="AH37" s="23">
        <f>RANK(State112019[[#This Row],[Total PT MPRD]],State112019[Total PT MPRD])</f>
        <v>10</v>
      </c>
      <c r="AI37" s="22">
        <f>(SUMIF([1]!NonNurse[STATE], State112019[[#This Row],[State]], [1]!NonNurse[Hrs_QualActvProf]) + SUMIF([1]!NonNurse[STATE], State112019[[#This Row],[State]], [1]!NonNurse[Hrs_OthActv])) / SUMIF([1]!NonNurse[STATE], State112019[[#This Row],[State]], [1]!NonNurse[MDScensus]) * 60</f>
        <v>8.4383315736738833</v>
      </c>
      <c r="AJ37" s="20">
        <f>RANK(State112019[[#This Row],[Total Activities MPRD]], State112019[Total Activities MPRD])</f>
        <v>35</v>
      </c>
      <c r="AL37" s="21"/>
    </row>
    <row r="38" spans="22:40" s="9" customFormat="1" ht="15" customHeight="1" x14ac:dyDescent="0.2">
      <c r="V38" s="21" t="s">
        <v>240</v>
      </c>
      <c r="W38" s="23">
        <f>SUMIF([1]!NonNurse[STATE], State112019[[#This Row],[State]], [1]!NonNurse[MDScensus])</f>
        <v>67307.777777777694</v>
      </c>
      <c r="X38" s="23">
        <f>COUNTIF([1]!NonNurse[STATE], State112019[[#This Row],[State]])</f>
        <v>918</v>
      </c>
      <c r="Y38" s="22">
        <f>SUMIF([1]!NonNurse[STATE], State112019[[#This Row],[State]], [1]!NonNurse[Hrs_Admin])/SUMIF([1]!NonNurse[STATE], State112019[[#This Row],[State]], [1]!NonNurse[MDScensus])*60</f>
        <v>4.2646095712894327</v>
      </c>
      <c r="Z38" s="23">
        <f>RANK(State112019[[#This Row],[Total Admin MPRD]],State112019[Total Admin MPRD])</f>
        <v>25</v>
      </c>
      <c r="AA38" s="22">
        <f>SUMIF([1]!NonNurse[STATE], State112019[[#This Row],[State]], [1]!NonNurse[Hrs_MedDir])/SUMIF([1]!NonNurse[STATE], State112019[[#This Row],[State]], [1]!NonNurse[MDScensus])*60</f>
        <v>0.30175730062564982</v>
      </c>
      <c r="AB38" s="23">
        <f>RANK(State112019[[#This Row],[Total MedDir MPRD]],State112019[Total MedDir MPRD])</f>
        <v>17</v>
      </c>
      <c r="AC38" s="22">
        <f>(SUMIF([1]!NonNurse[STATE], State112019[[#This Row],[State]], [1]!NonNurse[Hrs_QualSocWrk]) + SUMIF([1]!NonNurse[STATE], State112019[[#This Row],[State]], [1]!NonNurse[Hrs_OthSocWrk])) / SUMIF([1]!NonNurse[STATE], State112019[[#This Row],[State]], [1]!NonNurse[MDScensus]) * 60</f>
        <v>4.7403386433794994</v>
      </c>
      <c r="AD38" s="23">
        <f>RANK(State112019[[#This Row],[Total Social Work MPRD]],State112019[Total Social Work MPRD])</f>
        <v>40</v>
      </c>
      <c r="AE38" s="22">
        <f>(SUMIF([1]!NonNurse[STATE], State112019[[#This Row],[State]], [1]!NonNurse[Hrs_OT]) + SUMIF([1]!NonNurse[STATE], State112019[[#This Row],[State]], [1]!NonNurse[Hrs_OTasst]) + SUMIF([1]!NonNurse[STATE], State112019[[#This Row],[State]], [1]!NonNurse[Hrs_OTaide])) / SUMIF([1]!NonNurse[STATE], State112019[[#This Row],[State]], [1]!NonNurse[MDScensus]) * 60</f>
        <v>8.2030650576951594</v>
      </c>
      <c r="AF38" s="23">
        <f>RANK(State112019[[#This Row],[Total OT MPRD]],State112019[Total OT MPRD])</f>
        <v>26</v>
      </c>
      <c r="AG38" s="22">
        <f>(SUMIF([1]!NonNurse[STATE], State112019[[#This Row],[State]], [1]!NonNurse[Hrs_PT]) + SUMIF([1]!NonNurse[STATE], State112019[[#This Row],[State]], [1]!NonNurse[Hrs_PTasst]) + SUMIF([1]!NonNurse[STATE], State112019[[#This Row],[State]], [1]!NonNurse[Hrs_PTaide])) / SUMIF([1]!NonNurse[STATE], State112019[[#This Row],[State]], [1]!NonNurse[MDScensus]) * 60</f>
        <v>9.2620423262954503</v>
      </c>
      <c r="AH38" s="23">
        <f>RANK(State112019[[#This Row],[Total PT MPRD]],State112019[Total PT MPRD])</f>
        <v>23</v>
      </c>
      <c r="AI38" s="22">
        <f>(SUMIF([1]!NonNurse[STATE], State112019[[#This Row],[State]], [1]!NonNurse[Hrs_QualActvProf]) + SUMIF([1]!NonNurse[STATE], State112019[[#This Row],[State]], [1]!NonNurse[Hrs_OthActv])) / SUMIF([1]!NonNurse[STATE], State112019[[#This Row],[State]], [1]!NonNurse[MDScensus]) * 60</f>
        <v>11.208965415916927</v>
      </c>
      <c r="AJ38" s="20">
        <f>RANK(State112019[[#This Row],[Total Activities MPRD]], State112019[Total Activities MPRD])</f>
        <v>21</v>
      </c>
      <c r="AL38" s="21"/>
    </row>
    <row r="39" spans="22:40" s="9" customFormat="1" ht="15" customHeight="1" x14ac:dyDescent="0.2">
      <c r="V39" s="21" t="s">
        <v>239</v>
      </c>
      <c r="W39" s="23">
        <f>SUMIF([1]!NonNurse[STATE], State112019[[#This Row],[State]], [1]!NonNurse[MDScensus])</f>
        <v>16511.06666666664</v>
      </c>
      <c r="X39" s="23">
        <f>COUNTIF([1]!NonNurse[STATE], State112019[[#This Row],[State]])</f>
        <v>275</v>
      </c>
      <c r="Y39" s="22">
        <f>SUMIF([1]!NonNurse[STATE], State112019[[#This Row],[State]], [1]!NonNurse[Hrs_Admin])/SUMIF([1]!NonNurse[STATE], State112019[[#This Row],[State]], [1]!NonNurse[MDScensus])*60</f>
        <v>5.3038459053725573</v>
      </c>
      <c r="Z39" s="23">
        <f>RANK(State112019[[#This Row],[Total Admin MPRD]],State112019[Total Admin MPRD])</f>
        <v>12</v>
      </c>
      <c r="AA39" s="22">
        <f>SUMIF([1]!NonNurse[STATE], State112019[[#This Row],[State]], [1]!NonNurse[Hrs_MedDir])/SUMIF([1]!NonNurse[STATE], State112019[[#This Row],[State]], [1]!NonNurse[MDScensus])*60</f>
        <v>0.22260423312041219</v>
      </c>
      <c r="AB39" s="23">
        <f>RANK(State112019[[#This Row],[Total MedDir MPRD]],State112019[Total MedDir MPRD])</f>
        <v>36</v>
      </c>
      <c r="AC39" s="22">
        <f>(SUMIF([1]!NonNurse[STATE], State112019[[#This Row],[State]], [1]!NonNurse[Hrs_QualSocWrk]) + SUMIF([1]!NonNurse[STATE], State112019[[#This Row],[State]], [1]!NonNurse[Hrs_OthSocWrk])) / SUMIF([1]!NonNurse[STATE], State112019[[#This Row],[State]], [1]!NonNurse[MDScensus]) * 60</f>
        <v>3.6275059959784572</v>
      </c>
      <c r="AD39" s="23">
        <f>RANK(State112019[[#This Row],[Total Social Work MPRD]],State112019[Total Social Work MPRD])</f>
        <v>52</v>
      </c>
      <c r="AE39" s="22">
        <f>(SUMIF([1]!NonNurse[STATE], State112019[[#This Row],[State]], [1]!NonNurse[Hrs_OT]) + SUMIF([1]!NonNurse[STATE], State112019[[#This Row],[State]], [1]!NonNurse[Hrs_OTasst]) + SUMIF([1]!NonNurse[STATE], State112019[[#This Row],[State]], [1]!NonNurse[Hrs_OTaide])) / SUMIF([1]!NonNurse[STATE], State112019[[#This Row],[State]], [1]!NonNurse[MDScensus]) * 60</f>
        <v>5.2635642357045347</v>
      </c>
      <c r="AF39" s="23">
        <f>RANK(State112019[[#This Row],[Total OT MPRD]],State112019[Total OT MPRD])</f>
        <v>48</v>
      </c>
      <c r="AG39" s="22">
        <f>(SUMIF([1]!NonNurse[STATE], State112019[[#This Row],[State]], [1]!NonNurse[Hrs_PT]) + SUMIF([1]!NonNurse[STATE], State112019[[#This Row],[State]], [1]!NonNurse[Hrs_PTasst]) + SUMIF([1]!NonNurse[STATE], State112019[[#This Row],[State]], [1]!NonNurse[Hrs_PTaide])) / SUMIF([1]!NonNurse[STATE], State112019[[#This Row],[State]], [1]!NonNurse[MDScensus]) * 60</f>
        <v>5.3509411869210952</v>
      </c>
      <c r="AH39" s="23">
        <f>RANK(State112019[[#This Row],[Total PT MPRD]],State112019[Total PT MPRD])</f>
        <v>49</v>
      </c>
      <c r="AI39" s="22">
        <f>(SUMIF([1]!NonNurse[STATE], State112019[[#This Row],[State]], [1]!NonNurse[Hrs_QualActvProf]) + SUMIF([1]!NonNurse[STATE], State112019[[#This Row],[State]], [1]!NonNurse[Hrs_OthActv])) / SUMIF([1]!NonNurse[STATE], State112019[[#This Row],[State]], [1]!NonNurse[MDScensus]) * 60</f>
        <v>4.9957503250345239</v>
      </c>
      <c r="AJ39" s="20">
        <f>RANK(State112019[[#This Row],[Total Activities MPRD]], State112019[Total Activities MPRD])</f>
        <v>49</v>
      </c>
      <c r="AL39" s="21"/>
    </row>
    <row r="40" spans="22:40" s="9" customFormat="1" ht="15" customHeight="1" x14ac:dyDescent="0.2">
      <c r="V40" s="21" t="s">
        <v>238</v>
      </c>
      <c r="W40" s="23">
        <f>SUMIF([1]!NonNurse[STATE], State112019[[#This Row],[State]], [1]!NonNurse[MDScensus])</f>
        <v>6953.2999999999975</v>
      </c>
      <c r="X40" s="23">
        <f>COUNTIF([1]!NonNurse[STATE], State112019[[#This Row],[State]])</f>
        <v>127</v>
      </c>
      <c r="Y40" s="22">
        <f>SUMIF([1]!NonNurse[STATE], State112019[[#This Row],[State]], [1]!NonNurse[Hrs_Admin])/SUMIF([1]!NonNurse[STATE], State112019[[#This Row],[State]], [1]!NonNurse[MDScensus])*60</f>
        <v>6.093867180571336</v>
      </c>
      <c r="Z40" s="23">
        <f>RANK(State112019[[#This Row],[Total Admin MPRD]],State112019[Total Admin MPRD])</f>
        <v>2</v>
      </c>
      <c r="AA40" s="22">
        <f>SUMIF([1]!NonNurse[STATE], State112019[[#This Row],[State]], [1]!NonNurse[Hrs_MedDir])/SUMIF([1]!NonNurse[STATE], State112019[[#This Row],[State]], [1]!NonNurse[MDScensus])*60</f>
        <v>0.52367556891451927</v>
      </c>
      <c r="AB40" s="23">
        <f>RANK(State112019[[#This Row],[Total MedDir MPRD]],State112019[Total MedDir MPRD])</f>
        <v>3</v>
      </c>
      <c r="AC40" s="22">
        <f>(SUMIF([1]!NonNurse[STATE], State112019[[#This Row],[State]], [1]!NonNurse[Hrs_QualSocWrk]) + SUMIF([1]!NonNurse[STATE], State112019[[#This Row],[State]], [1]!NonNurse[Hrs_OthSocWrk])) / SUMIF([1]!NonNurse[STATE], State112019[[#This Row],[State]], [1]!NonNurse[MDScensus]) * 60</f>
        <v>8.4883014779553001</v>
      </c>
      <c r="AD40" s="23">
        <f>RANK(State112019[[#This Row],[Total Social Work MPRD]],State112019[Total Social Work MPRD])</f>
        <v>6</v>
      </c>
      <c r="AE40" s="22">
        <f>(SUMIF([1]!NonNurse[STATE], State112019[[#This Row],[State]], [1]!NonNurse[Hrs_OT]) + SUMIF([1]!NonNurse[STATE], State112019[[#This Row],[State]], [1]!NonNurse[Hrs_OTasst]) + SUMIF([1]!NonNurse[STATE], State112019[[#This Row],[State]], [1]!NonNurse[Hrs_OTaide])) / SUMIF([1]!NonNurse[STATE], State112019[[#This Row],[State]], [1]!NonNurse[MDScensus]) * 60</f>
        <v>7.7896902669715491</v>
      </c>
      <c r="AF40" s="23">
        <f>RANK(State112019[[#This Row],[Total OT MPRD]],State112019[Total OT MPRD])</f>
        <v>29</v>
      </c>
      <c r="AG40" s="22">
        <f>(SUMIF([1]!NonNurse[STATE], State112019[[#This Row],[State]], [1]!NonNurse[Hrs_PT]) + SUMIF([1]!NonNurse[STATE], State112019[[#This Row],[State]], [1]!NonNurse[Hrs_PTasst]) + SUMIF([1]!NonNurse[STATE], State112019[[#This Row],[State]], [1]!NonNurse[Hrs_PTaide])) / SUMIF([1]!NonNurse[STATE], State112019[[#This Row],[State]], [1]!NonNurse[MDScensus]) * 60</f>
        <v>9.7101587255931108</v>
      </c>
      <c r="AH40" s="23">
        <f>RANK(State112019[[#This Row],[Total PT MPRD]],State112019[Total PT MPRD])</f>
        <v>20</v>
      </c>
      <c r="AI40" s="22">
        <f>(SUMIF([1]!NonNurse[STATE], State112019[[#This Row],[State]], [1]!NonNurse[Hrs_QualActvProf]) + SUMIF([1]!NonNurse[STATE], State112019[[#This Row],[State]], [1]!NonNurse[Hrs_OthActv])) / SUMIF([1]!NonNurse[STATE], State112019[[#This Row],[State]], [1]!NonNurse[MDScensus]) * 60</f>
        <v>9.2204631853460377</v>
      </c>
      <c r="AJ40" s="20">
        <f>RANK(State112019[[#This Row],[Total Activities MPRD]], State112019[Total Activities MPRD])</f>
        <v>32</v>
      </c>
      <c r="AL40" s="21"/>
    </row>
    <row r="41" spans="22:40" s="9" customFormat="1" ht="15" customHeight="1" x14ac:dyDescent="0.2">
      <c r="V41" s="21" t="s">
        <v>206</v>
      </c>
      <c r="W41" s="23">
        <f>SUMIF([1]!NonNurse[STATE], State112019[[#This Row],[State]], [1]!NonNurse[MDScensus])</f>
        <v>67761.933333333131</v>
      </c>
      <c r="X41" s="23">
        <f>COUNTIF([1]!NonNurse[STATE], State112019[[#This Row],[State]])</f>
        <v>658</v>
      </c>
      <c r="Y41" s="22">
        <f>SUMIF([1]!NonNurse[STATE], State112019[[#This Row],[State]], [1]!NonNurse[Hrs_Admin])/SUMIF([1]!NonNurse[STATE], State112019[[#This Row],[State]], [1]!NonNurse[MDScensus])*60</f>
        <v>3.2989090236504541</v>
      </c>
      <c r="Z41" s="23">
        <f>RANK(State112019[[#This Row],[Total Admin MPRD]],State112019[Total Admin MPRD])</f>
        <v>45</v>
      </c>
      <c r="AA41" s="22">
        <f>SUMIF([1]!NonNurse[STATE], State112019[[#This Row],[State]], [1]!NonNurse[Hrs_MedDir])/SUMIF([1]!NonNurse[STATE], State112019[[#This Row],[State]], [1]!NonNurse[MDScensus])*60</f>
        <v>0.39455072612056619</v>
      </c>
      <c r="AB41" s="23">
        <f>RANK(State112019[[#This Row],[Total MedDir MPRD]],State112019[Total MedDir MPRD])</f>
        <v>6</v>
      </c>
      <c r="AC41" s="22">
        <f>(SUMIF([1]!NonNurse[STATE], State112019[[#This Row],[State]], [1]!NonNurse[Hrs_QualSocWrk]) + SUMIF([1]!NonNurse[STATE], State112019[[#This Row],[State]], [1]!NonNurse[Hrs_OthSocWrk])) / SUMIF([1]!NonNurse[STATE], State112019[[#This Row],[State]], [1]!NonNurse[MDScensus]) * 60</f>
        <v>4.9558698148124547</v>
      </c>
      <c r="AD41" s="23">
        <f>RANK(State112019[[#This Row],[Total Social Work MPRD]],State112019[Total Social Work MPRD])</f>
        <v>34</v>
      </c>
      <c r="AE41" s="22">
        <f>(SUMIF([1]!NonNurse[STATE], State112019[[#This Row],[State]], [1]!NonNurse[Hrs_OT]) + SUMIF([1]!NonNurse[STATE], State112019[[#This Row],[State]], [1]!NonNurse[Hrs_OTasst]) + SUMIF([1]!NonNurse[STATE], State112019[[#This Row],[State]], [1]!NonNurse[Hrs_OTaide])) / SUMIF([1]!NonNurse[STATE], State112019[[#This Row],[State]], [1]!NonNurse[MDScensus]) * 60</f>
        <v>8.6035978902609145</v>
      </c>
      <c r="AF41" s="23">
        <f>RANK(State112019[[#This Row],[Total OT MPRD]],State112019[Total OT MPRD])</f>
        <v>20</v>
      </c>
      <c r="AG41" s="22">
        <f>(SUMIF([1]!NonNurse[STATE], State112019[[#This Row],[State]], [1]!NonNurse[Hrs_PT]) + SUMIF([1]!NonNurse[STATE], State112019[[#This Row],[State]], [1]!NonNurse[Hrs_PTasst]) + SUMIF([1]!NonNurse[STATE], State112019[[#This Row],[State]], [1]!NonNurse[Hrs_PTaide])) / SUMIF([1]!NonNurse[STATE], State112019[[#This Row],[State]], [1]!NonNurse[MDScensus]) * 60</f>
        <v>9.0393992103728031</v>
      </c>
      <c r="AH41" s="23">
        <f>RANK(State112019[[#This Row],[Total PT MPRD]],State112019[Total PT MPRD])</f>
        <v>27</v>
      </c>
      <c r="AI41" s="22">
        <f>(SUMIF([1]!NonNurse[STATE], State112019[[#This Row],[State]], [1]!NonNurse[Hrs_QualActvProf]) + SUMIF([1]!NonNurse[STATE], State112019[[#This Row],[State]], [1]!NonNurse[Hrs_OthActv])) / SUMIF([1]!NonNurse[STATE], State112019[[#This Row],[State]], [1]!NonNurse[MDScensus]) * 60</f>
        <v>10.685814651097147</v>
      </c>
      <c r="AJ41" s="20">
        <f>RANK(State112019[[#This Row],[Total Activities MPRD]], State112019[Total Activities MPRD])</f>
        <v>24</v>
      </c>
      <c r="AL41" s="21"/>
    </row>
    <row r="42" spans="22:40" s="9" customFormat="1" ht="15" customHeight="1" x14ac:dyDescent="0.2">
      <c r="V42" s="21" t="s">
        <v>237</v>
      </c>
      <c r="W42" s="23">
        <f>SUMIF([1]!NonNurse[STATE], State112019[[#This Row],[State]], [1]!NonNurse[MDScensus])</f>
        <v>141.93333333333302</v>
      </c>
      <c r="X42" s="23">
        <f>COUNTIF([1]!NonNurse[STATE], State112019[[#This Row],[State]])</f>
        <v>6</v>
      </c>
      <c r="Y42" s="22">
        <f>SUMIF([1]!NonNurse[STATE], State112019[[#This Row],[State]], [1]!NonNurse[Hrs_Admin])/SUMIF([1]!NonNurse[STATE], State112019[[#This Row],[State]], [1]!NonNurse[MDScensus])*60</f>
        <v>5.5472052606857742</v>
      </c>
      <c r="Z42" s="23">
        <f>RANK(State112019[[#This Row],[Total Admin MPRD]],State112019[Total Admin MPRD])</f>
        <v>7</v>
      </c>
      <c r="AA42" s="22">
        <f>SUMIF([1]!NonNurse[STATE], State112019[[#This Row],[State]], [1]!NonNurse[Hrs_MedDir])/SUMIF([1]!NonNurse[STATE], State112019[[#This Row],[State]], [1]!NonNurse[MDScensus])*60</f>
        <v>6.3457022076092127</v>
      </c>
      <c r="AB42" s="23">
        <f>RANK(State112019[[#This Row],[Total MedDir MPRD]],State112019[Total MedDir MPRD])</f>
        <v>1</v>
      </c>
      <c r="AC42" s="22">
        <f>(SUMIF([1]!NonNurse[STATE], State112019[[#This Row],[State]], [1]!NonNurse[Hrs_QualSocWrk]) + SUMIF([1]!NonNurse[STATE], State112019[[#This Row],[State]], [1]!NonNurse[Hrs_OthSocWrk])) / SUMIF([1]!NonNurse[STATE], State112019[[#This Row],[State]], [1]!NonNurse[MDScensus]) * 60</f>
        <v>13.220526068576797</v>
      </c>
      <c r="AD42" s="23">
        <f>RANK(State112019[[#This Row],[Total Social Work MPRD]],State112019[Total Social Work MPRD])</f>
        <v>1</v>
      </c>
      <c r="AE42" s="22">
        <f>(SUMIF([1]!NonNurse[STATE], State112019[[#This Row],[State]], [1]!NonNurse[Hrs_OT]) + SUMIF([1]!NonNurse[STATE], State112019[[#This Row],[State]], [1]!NonNurse[Hrs_OTasst]) + SUMIF([1]!NonNurse[STATE], State112019[[#This Row],[State]], [1]!NonNurse[Hrs_OTaide])) / SUMIF([1]!NonNurse[STATE], State112019[[#This Row],[State]], [1]!NonNurse[MDScensus]) * 60</f>
        <v>10.94114607797089</v>
      </c>
      <c r="AF42" s="23">
        <f>RANK(State112019[[#This Row],[Total OT MPRD]],State112019[Total OT MPRD])</f>
        <v>3</v>
      </c>
      <c r="AG42" s="22">
        <f>(SUMIF([1]!NonNurse[STATE], State112019[[#This Row],[State]], [1]!NonNurse[Hrs_PT]) + SUMIF([1]!NonNurse[STATE], State112019[[#This Row],[State]], [1]!NonNurse[Hrs_PTasst]) + SUMIF([1]!NonNurse[STATE], State112019[[#This Row],[State]], [1]!NonNurse[Hrs_PTaide])) / SUMIF([1]!NonNurse[STATE], State112019[[#This Row],[State]], [1]!NonNurse[MDScensus]) * 60</f>
        <v>59.562846406763761</v>
      </c>
      <c r="AH42" s="23">
        <f>RANK(State112019[[#This Row],[Total PT MPRD]],State112019[Total PT MPRD])</f>
        <v>1</v>
      </c>
      <c r="AI42" s="22">
        <f>(SUMIF([1]!NonNurse[STATE], State112019[[#This Row],[State]], [1]!NonNurse[Hrs_QualActvProf]) + SUMIF([1]!NonNurse[STATE], State112019[[#This Row],[State]], [1]!NonNurse[Hrs_OthActv])) / SUMIF([1]!NonNurse[STATE], State112019[[#This Row],[State]], [1]!NonNurse[MDScensus]) * 60</f>
        <v>0</v>
      </c>
      <c r="AJ42" s="20">
        <f>RANK(State112019[[#This Row],[Total Activities MPRD]], State112019[Total Activities MPRD])</f>
        <v>52</v>
      </c>
      <c r="AL42" s="21"/>
    </row>
    <row r="43" spans="22:40" s="9" customFormat="1" ht="15" customHeight="1" x14ac:dyDescent="0.2">
      <c r="V43" s="21" t="s">
        <v>236</v>
      </c>
      <c r="W43" s="23">
        <f>SUMIF([1]!NonNurse[STATE], State112019[[#This Row],[State]], [1]!NonNurse[MDScensus])</f>
        <v>6814.9555555555407</v>
      </c>
      <c r="X43" s="23">
        <f>COUNTIF([1]!NonNurse[STATE], State112019[[#This Row],[State]])</f>
        <v>71</v>
      </c>
      <c r="Y43" s="22">
        <f>SUMIF([1]!NonNurse[STATE], State112019[[#This Row],[State]], [1]!NonNurse[Hrs_Admin])/SUMIF([1]!NonNurse[STATE], State112019[[#This Row],[State]], [1]!NonNurse[MDScensus])*60</f>
        <v>3.5320856417095792</v>
      </c>
      <c r="Z43" s="23">
        <f>RANK(State112019[[#This Row],[Total Admin MPRD]],State112019[Total Admin MPRD])</f>
        <v>38</v>
      </c>
      <c r="AA43" s="22">
        <f>SUMIF([1]!NonNurse[STATE], State112019[[#This Row],[State]], [1]!NonNurse[Hrs_MedDir])/SUMIF([1]!NonNurse[STATE], State112019[[#This Row],[State]], [1]!NonNurse[MDScensus])*60</f>
        <v>0.19175669198136139</v>
      </c>
      <c r="AB43" s="23">
        <f>RANK(State112019[[#This Row],[Total MedDir MPRD]],State112019[Total MedDir MPRD])</f>
        <v>45</v>
      </c>
      <c r="AC43" s="22">
        <f>(SUMIF([1]!NonNurse[STATE], State112019[[#This Row],[State]], [1]!NonNurse[Hrs_QualSocWrk]) + SUMIF([1]!NonNurse[STATE], State112019[[#This Row],[State]], [1]!NonNurse[Hrs_OthSocWrk])) / SUMIF([1]!NonNurse[STATE], State112019[[#This Row],[State]], [1]!NonNurse[MDScensus]) * 60</f>
        <v>5.5226410541521442</v>
      </c>
      <c r="AD43" s="23">
        <f>RANK(State112019[[#This Row],[Total Social Work MPRD]],State112019[Total Social Work MPRD])</f>
        <v>26</v>
      </c>
      <c r="AE43" s="22">
        <f>(SUMIF([1]!NonNurse[STATE], State112019[[#This Row],[State]], [1]!NonNurse[Hrs_OT]) + SUMIF([1]!NonNurse[STATE], State112019[[#This Row],[State]], [1]!NonNurse[Hrs_OTasst]) + SUMIF([1]!NonNurse[STATE], State112019[[#This Row],[State]], [1]!NonNurse[Hrs_OTaide])) / SUMIF([1]!NonNurse[STATE], State112019[[#This Row],[State]], [1]!NonNurse[MDScensus]) * 60</f>
        <v>8.1020846308608867</v>
      </c>
      <c r="AF43" s="23">
        <f>RANK(State112019[[#This Row],[Total OT MPRD]],State112019[Total OT MPRD])</f>
        <v>27</v>
      </c>
      <c r="AG43" s="22">
        <f>(SUMIF([1]!NonNurse[STATE], State112019[[#This Row],[State]], [1]!NonNurse[Hrs_PT]) + SUMIF([1]!NonNurse[STATE], State112019[[#This Row],[State]], [1]!NonNurse[Hrs_PTasst]) + SUMIF([1]!NonNurse[STATE], State112019[[#This Row],[State]], [1]!NonNurse[Hrs_PTaide])) / SUMIF([1]!NonNurse[STATE], State112019[[#This Row],[State]], [1]!NonNurse[MDScensus]) * 60</f>
        <v>8.2617863326735712</v>
      </c>
      <c r="AH43" s="23">
        <f>RANK(State112019[[#This Row],[Total PT MPRD]],State112019[Total PT MPRD])</f>
        <v>34</v>
      </c>
      <c r="AI43" s="22">
        <f>(SUMIF([1]!NonNurse[STATE], State112019[[#This Row],[State]], [1]!NonNurse[Hrs_QualActvProf]) + SUMIF([1]!NonNurse[STATE], State112019[[#This Row],[State]], [1]!NonNurse[Hrs_OthActv])) / SUMIF([1]!NonNurse[STATE], State112019[[#This Row],[State]], [1]!NonNurse[MDScensus]) * 60</f>
        <v>11.556328727993668</v>
      </c>
      <c r="AJ43" s="20">
        <f>RANK(State112019[[#This Row],[Total Activities MPRD]], State112019[Total Activities MPRD])</f>
        <v>17</v>
      </c>
      <c r="AL43" s="22"/>
    </row>
    <row r="44" spans="22:40" s="9" customFormat="1" ht="15" customHeight="1" x14ac:dyDescent="0.2">
      <c r="V44" s="21" t="s">
        <v>235</v>
      </c>
      <c r="W44" s="23">
        <f>SUMIF([1]!NonNurse[STATE], State112019[[#This Row],[State]], [1]!NonNurse[MDScensus])</f>
        <v>16653.422222222194</v>
      </c>
      <c r="X44" s="23">
        <f>COUNTIF([1]!NonNurse[STATE], State112019[[#This Row],[State]])</f>
        <v>185</v>
      </c>
      <c r="Y44" s="22">
        <f>SUMIF([1]!NonNurse[STATE], State112019[[#This Row],[State]], [1]!NonNurse[Hrs_Admin])/SUMIF([1]!NonNurse[STATE], State112019[[#This Row],[State]], [1]!NonNurse[MDScensus])*60</f>
        <v>3.5167682585094289</v>
      </c>
      <c r="Z44" s="23">
        <f>RANK(State112019[[#This Row],[Total Admin MPRD]],State112019[Total Admin MPRD])</f>
        <v>39</v>
      </c>
      <c r="AA44" s="22">
        <f>SUMIF([1]!NonNurse[STATE], State112019[[#This Row],[State]], [1]!NonNurse[Hrs_MedDir])/SUMIF([1]!NonNurse[STATE], State112019[[#This Row],[State]], [1]!NonNurse[MDScensus])*60</f>
        <v>0.25536613095206334</v>
      </c>
      <c r="AB44" s="23">
        <f>RANK(State112019[[#This Row],[Total MedDir MPRD]],State112019[Total MedDir MPRD])</f>
        <v>26</v>
      </c>
      <c r="AC44" s="22">
        <f>(SUMIF([1]!NonNurse[STATE], State112019[[#This Row],[State]], [1]!NonNurse[Hrs_QualSocWrk]) + SUMIF([1]!NonNurse[STATE], State112019[[#This Row],[State]], [1]!NonNurse[Hrs_OthSocWrk])) / SUMIF([1]!NonNurse[STATE], State112019[[#This Row],[State]], [1]!NonNurse[MDScensus]) * 60</f>
        <v>6.0953073375642477</v>
      </c>
      <c r="AD44" s="23">
        <f>RANK(State112019[[#This Row],[Total Social Work MPRD]],State112019[Total Social Work MPRD])</f>
        <v>19</v>
      </c>
      <c r="AE44" s="22">
        <f>(SUMIF([1]!NonNurse[STATE], State112019[[#This Row],[State]], [1]!NonNurse[Hrs_OT]) + SUMIF([1]!NonNurse[STATE], State112019[[#This Row],[State]], [1]!NonNurse[Hrs_OTasst]) + SUMIF([1]!NonNurse[STATE], State112019[[#This Row],[State]], [1]!NonNurse[Hrs_OTaide])) / SUMIF([1]!NonNurse[STATE], State112019[[#This Row],[State]], [1]!NonNurse[MDScensus]) * 60</f>
        <v>8.623494403552689</v>
      </c>
      <c r="AF44" s="23">
        <f>RANK(State112019[[#This Row],[Total OT MPRD]],State112019[Total OT MPRD])</f>
        <v>17</v>
      </c>
      <c r="AG44" s="22">
        <f>(SUMIF([1]!NonNurse[STATE], State112019[[#This Row],[State]], [1]!NonNurse[Hrs_PT]) + SUMIF([1]!NonNurse[STATE], State112019[[#This Row],[State]], [1]!NonNurse[Hrs_PTasst]) + SUMIF([1]!NonNurse[STATE], State112019[[#This Row],[State]], [1]!NonNurse[Hrs_PTaide])) / SUMIF([1]!NonNurse[STATE], State112019[[#This Row],[State]], [1]!NonNurse[MDScensus]) * 60</f>
        <v>9.8524117832304032</v>
      </c>
      <c r="AH44" s="23">
        <f>RANK(State112019[[#This Row],[Total PT MPRD]],State112019[Total PT MPRD])</f>
        <v>17</v>
      </c>
      <c r="AI44" s="22">
        <f>(SUMIF([1]!NonNurse[STATE], State112019[[#This Row],[State]], [1]!NonNurse[Hrs_QualActvProf]) + SUMIF([1]!NonNurse[STATE], State112019[[#This Row],[State]], [1]!NonNurse[Hrs_OthActv])) / SUMIF([1]!NonNurse[STATE], State112019[[#This Row],[State]], [1]!NonNurse[MDScensus]) * 60</f>
        <v>7.270944777449813</v>
      </c>
      <c r="AJ44" s="20">
        <f>RANK(State112019[[#This Row],[Total Activities MPRD]], State112019[Total Activities MPRD])</f>
        <v>41</v>
      </c>
      <c r="AL44" s="21"/>
    </row>
    <row r="45" spans="22:40" s="9" customFormat="1" ht="15" customHeight="1" x14ac:dyDescent="0.2">
      <c r="V45" s="21" t="s">
        <v>234</v>
      </c>
      <c r="W45" s="23">
        <f>SUMIF([1]!NonNurse[STATE], State112019[[#This Row],[State]], [1]!NonNurse[MDScensus])</f>
        <v>4631.8888888888841</v>
      </c>
      <c r="X45" s="23">
        <f>COUNTIF([1]!NonNurse[STATE], State112019[[#This Row],[State]])</f>
        <v>91</v>
      </c>
      <c r="Y45" s="22">
        <f>SUMIF([1]!NonNurse[STATE], State112019[[#This Row],[State]], [1]!NonNurse[Hrs_Admin])/SUMIF([1]!NonNurse[STATE], State112019[[#This Row],[State]], [1]!NonNurse[MDScensus])*60</f>
        <v>5.7996152277688484</v>
      </c>
      <c r="Z45" s="23">
        <f>RANK(State112019[[#This Row],[Total Admin MPRD]],State112019[Total Admin MPRD])</f>
        <v>5</v>
      </c>
      <c r="AA45" s="22">
        <f>SUMIF([1]!NonNurse[STATE], State112019[[#This Row],[State]], [1]!NonNurse[Hrs_MedDir])/SUMIF([1]!NonNurse[STATE], State112019[[#This Row],[State]], [1]!NonNurse[MDScensus])*60</f>
        <v>0.12687696404154766</v>
      </c>
      <c r="AB45" s="23">
        <f>RANK(State112019[[#This Row],[Total MedDir MPRD]],State112019[Total MedDir MPRD])</f>
        <v>51</v>
      </c>
      <c r="AC45" s="22">
        <f>(SUMIF([1]!NonNurse[STATE], State112019[[#This Row],[State]], [1]!NonNurse[Hrs_QualSocWrk]) + SUMIF([1]!NonNurse[STATE], State112019[[#This Row],[State]], [1]!NonNurse[Hrs_OthSocWrk])) / SUMIF([1]!NonNurse[STATE], State112019[[#This Row],[State]], [1]!NonNurse[MDScensus]) * 60</f>
        <v>6.5552076186820827</v>
      </c>
      <c r="AD45" s="23">
        <f>RANK(State112019[[#This Row],[Total Social Work MPRD]],State112019[Total Social Work MPRD])</f>
        <v>16</v>
      </c>
      <c r="AE45" s="22">
        <f>(SUMIF([1]!NonNurse[STATE], State112019[[#This Row],[State]], [1]!NonNurse[Hrs_OT]) + SUMIF([1]!NonNurse[STATE], State112019[[#This Row],[State]], [1]!NonNurse[Hrs_OTasst]) + SUMIF([1]!NonNurse[STATE], State112019[[#This Row],[State]], [1]!NonNurse[Hrs_OTaide])) / SUMIF([1]!NonNurse[STATE], State112019[[#This Row],[State]], [1]!NonNurse[MDScensus]) * 60</f>
        <v>4.4205176673783191</v>
      </c>
      <c r="AF45" s="23">
        <f>RANK(State112019[[#This Row],[Total OT MPRD]],State112019[Total OT MPRD])</f>
        <v>52</v>
      </c>
      <c r="AG45" s="22">
        <f>(SUMIF([1]!NonNurse[STATE], State112019[[#This Row],[State]], [1]!NonNurse[Hrs_PT]) + SUMIF([1]!NonNurse[STATE], State112019[[#This Row],[State]], [1]!NonNurse[Hrs_PTasst]) + SUMIF([1]!NonNurse[STATE], State112019[[#This Row],[State]], [1]!NonNurse[Hrs_PTaide])) / SUMIF([1]!NonNurse[STATE], State112019[[#This Row],[State]], [1]!NonNurse[MDScensus]) * 60</f>
        <v>6.1393470386451359</v>
      </c>
      <c r="AH45" s="23">
        <f>RANK(State112019[[#This Row],[Total PT MPRD]],State112019[Total PT MPRD])</f>
        <v>47</v>
      </c>
      <c r="AI45" s="22">
        <f>(SUMIF([1]!NonNurse[STATE], State112019[[#This Row],[State]], [1]!NonNurse[Hrs_QualActvProf]) + SUMIF([1]!NonNurse[STATE], State112019[[#This Row],[State]], [1]!NonNurse[Hrs_OthActv])) / SUMIF([1]!NonNurse[STATE], State112019[[#This Row],[State]], [1]!NonNurse[MDScensus]) * 60</f>
        <v>12.854672199966407</v>
      </c>
      <c r="AJ45" s="20">
        <f>RANK(State112019[[#This Row],[Total Activities MPRD]], State112019[Total Activities MPRD])</f>
        <v>13</v>
      </c>
      <c r="AL45" s="21"/>
    </row>
    <row r="46" spans="22:40" s="9" customFormat="1" ht="15" customHeight="1" x14ac:dyDescent="0.2">
      <c r="V46" s="21" t="s">
        <v>233</v>
      </c>
      <c r="W46" s="23">
        <f>SUMIF([1]!NonNurse[STATE], State112019[[#This Row],[State]], [1]!NonNurse[MDScensus])</f>
        <v>24831.48888888886</v>
      </c>
      <c r="X46" s="23">
        <f>COUNTIF([1]!NonNurse[STATE], State112019[[#This Row],[State]])</f>
        <v>302</v>
      </c>
      <c r="Y46" s="22">
        <f>SUMIF([1]!NonNurse[STATE], State112019[[#This Row],[State]], [1]!NonNurse[Hrs_Admin])/SUMIF([1]!NonNurse[STATE], State112019[[#This Row],[State]], [1]!NonNurse[MDScensus])*60</f>
        <v>4.0555100736788496</v>
      </c>
      <c r="Z46" s="23">
        <f>RANK(State112019[[#This Row],[Total Admin MPRD]],State112019[Total Admin MPRD])</f>
        <v>27</v>
      </c>
      <c r="AA46" s="22">
        <f>SUMIF([1]!NonNurse[STATE], State112019[[#This Row],[State]], [1]!NonNurse[Hrs_MedDir])/SUMIF([1]!NonNurse[STATE], State112019[[#This Row],[State]], [1]!NonNurse[MDScensus])*60</f>
        <v>0.22617867814790715</v>
      </c>
      <c r="AB46" s="23">
        <f>RANK(State112019[[#This Row],[Total MedDir MPRD]],State112019[Total MedDir MPRD])</f>
        <v>35</v>
      </c>
      <c r="AC46" s="22">
        <f>(SUMIF([1]!NonNurse[STATE], State112019[[#This Row],[State]], [1]!NonNurse[Hrs_QualSocWrk]) + SUMIF([1]!NonNurse[STATE], State112019[[#This Row],[State]], [1]!NonNurse[Hrs_OthSocWrk])) / SUMIF([1]!NonNurse[STATE], State112019[[#This Row],[State]], [1]!NonNurse[MDScensus]) * 60</f>
        <v>6.2861326613072777</v>
      </c>
      <c r="AD46" s="23">
        <f>RANK(State112019[[#This Row],[Total Social Work MPRD]],State112019[Total Social Work MPRD])</f>
        <v>18</v>
      </c>
      <c r="AE46" s="22">
        <f>(SUMIF([1]!NonNurse[STATE], State112019[[#This Row],[State]], [1]!NonNurse[Hrs_OT]) + SUMIF([1]!NonNurse[STATE], State112019[[#This Row],[State]], [1]!NonNurse[Hrs_OTasst]) + SUMIF([1]!NonNurse[STATE], State112019[[#This Row],[State]], [1]!NonNurse[Hrs_OTaide])) / SUMIF([1]!NonNurse[STATE], State112019[[#This Row],[State]], [1]!NonNurse[MDScensus]) * 60</f>
        <v>10.703313624188631</v>
      </c>
      <c r="AF46" s="23">
        <f>RANK(State112019[[#This Row],[Total OT MPRD]],State112019[Total OT MPRD])</f>
        <v>5</v>
      </c>
      <c r="AG46" s="22">
        <f>(SUMIF([1]!NonNurse[STATE], State112019[[#This Row],[State]], [1]!NonNurse[Hrs_PT]) + SUMIF([1]!NonNurse[STATE], State112019[[#This Row],[State]], [1]!NonNurse[Hrs_PTasst]) + SUMIF([1]!NonNurse[STATE], State112019[[#This Row],[State]], [1]!NonNurse[Hrs_PTaide])) / SUMIF([1]!NonNurse[STATE], State112019[[#This Row],[State]], [1]!NonNurse[MDScensus]) * 60</f>
        <v>11.835530066215194</v>
      </c>
      <c r="AH46" s="23">
        <f>RANK(State112019[[#This Row],[Total PT MPRD]],State112019[Total PT MPRD])</f>
        <v>7</v>
      </c>
      <c r="AI46" s="22">
        <f>(SUMIF([1]!NonNurse[STATE], State112019[[#This Row],[State]], [1]!NonNurse[Hrs_QualActvProf]) + SUMIF([1]!NonNurse[STATE], State112019[[#This Row],[State]], [1]!NonNurse[Hrs_OthActv])) / SUMIF([1]!NonNurse[STATE], State112019[[#This Row],[State]], [1]!NonNurse[MDScensus]) * 60</f>
        <v>7.6664072588836554</v>
      </c>
      <c r="AJ46" s="20">
        <f>RANK(State112019[[#This Row],[Total Activities MPRD]], State112019[Total Activities MPRD])</f>
        <v>38</v>
      </c>
      <c r="AL46" s="21"/>
    </row>
    <row r="47" spans="22:40" s="9" customFormat="1" ht="15" customHeight="1" x14ac:dyDescent="0.2">
      <c r="V47" s="21" t="s">
        <v>232</v>
      </c>
      <c r="W47" s="23">
        <f>SUMIF([1]!NonNurse[STATE], State112019[[#This Row],[State]], [1]!NonNurse[MDScensus])</f>
        <v>87604.655555555451</v>
      </c>
      <c r="X47" s="23">
        <f>COUNTIF([1]!NonNurse[STATE], State112019[[#This Row],[State]])</f>
        <v>1169</v>
      </c>
      <c r="Y47" s="22">
        <f>SUMIF([1]!NonNurse[STATE], State112019[[#This Row],[State]], [1]!NonNurse[Hrs_Admin])/SUMIF([1]!NonNurse[STATE], State112019[[#This Row],[State]], [1]!NonNurse[MDScensus])*60</f>
        <v>4.3710698277197197</v>
      </c>
      <c r="Z47" s="23">
        <f>RANK(State112019[[#This Row],[Total Admin MPRD]],State112019[Total Admin MPRD])</f>
        <v>22</v>
      </c>
      <c r="AA47" s="22">
        <f>SUMIF([1]!NonNurse[STATE], State112019[[#This Row],[State]], [1]!NonNurse[Hrs_MedDir])/SUMIF([1]!NonNurse[STATE], State112019[[#This Row],[State]], [1]!NonNurse[MDScensus])*60</f>
        <v>0.19395042297980344</v>
      </c>
      <c r="AB47" s="23">
        <f>RANK(State112019[[#This Row],[Total MedDir MPRD]],State112019[Total MedDir MPRD])</f>
        <v>43</v>
      </c>
      <c r="AC47" s="22">
        <f>(SUMIF([1]!NonNurse[STATE], State112019[[#This Row],[State]], [1]!NonNurse[Hrs_QualSocWrk]) + SUMIF([1]!NonNurse[STATE], State112019[[#This Row],[State]], [1]!NonNurse[Hrs_OthSocWrk])) / SUMIF([1]!NonNurse[STATE], State112019[[#This Row],[State]], [1]!NonNurse[MDScensus]) * 60</f>
        <v>4.0125585918252167</v>
      </c>
      <c r="AD47" s="23">
        <f>RANK(State112019[[#This Row],[Total Social Work MPRD]],State112019[Total Social Work MPRD])</f>
        <v>49</v>
      </c>
      <c r="AE47" s="22">
        <f>(SUMIF([1]!NonNurse[STATE], State112019[[#This Row],[State]], [1]!NonNurse[Hrs_OT]) + SUMIF([1]!NonNurse[STATE], State112019[[#This Row],[State]], [1]!NonNurse[Hrs_OTasst]) + SUMIF([1]!NonNurse[STATE], State112019[[#This Row],[State]], [1]!NonNurse[Hrs_OTaide])) / SUMIF([1]!NonNurse[STATE], State112019[[#This Row],[State]], [1]!NonNurse[MDScensus]) * 60</f>
        <v>10.760873997183559</v>
      </c>
      <c r="AF47" s="23">
        <f>RANK(State112019[[#This Row],[Total OT MPRD]],State112019[Total OT MPRD])</f>
        <v>4</v>
      </c>
      <c r="AG47" s="22">
        <f>(SUMIF([1]!NonNurse[STATE], State112019[[#This Row],[State]], [1]!NonNurse[Hrs_PT]) + SUMIF([1]!NonNurse[STATE], State112019[[#This Row],[State]], [1]!NonNurse[Hrs_PTasst]) + SUMIF([1]!NonNurse[STATE], State112019[[#This Row],[State]], [1]!NonNurse[Hrs_PTaide])) / SUMIF([1]!NonNurse[STATE], State112019[[#This Row],[State]], [1]!NonNurse[MDScensus]) * 60</f>
        <v>11.789059688481803</v>
      </c>
      <c r="AH47" s="23">
        <f>RANK(State112019[[#This Row],[Total PT MPRD]],State112019[Total PT MPRD])</f>
        <v>8</v>
      </c>
      <c r="AI47" s="22">
        <f>(SUMIF([1]!NonNurse[STATE], State112019[[#This Row],[State]], [1]!NonNurse[Hrs_QualActvProf]) + SUMIF([1]!NonNurse[STATE], State112019[[#This Row],[State]], [1]!NonNurse[Hrs_OthActv])) / SUMIF([1]!NonNurse[STATE], State112019[[#This Row],[State]], [1]!NonNurse[MDScensus]) * 60</f>
        <v>5.6842035411867329</v>
      </c>
      <c r="AJ47" s="20">
        <f>RANK(State112019[[#This Row],[Total Activities MPRD]], State112019[Total Activities MPRD])</f>
        <v>48</v>
      </c>
      <c r="AL47" s="21"/>
    </row>
    <row r="48" spans="22:40" s="9" customFormat="1" ht="15" customHeight="1" x14ac:dyDescent="0.2">
      <c r="V48" s="21" t="s">
        <v>231</v>
      </c>
      <c r="W48" s="23">
        <f>SUMIF([1]!NonNurse[STATE], State112019[[#This Row],[State]], [1]!NonNurse[MDScensus])</f>
        <v>5732.8111111111057</v>
      </c>
      <c r="X48" s="23">
        <f>COUNTIF([1]!NonNurse[STATE], State112019[[#This Row],[State]])</f>
        <v>97</v>
      </c>
      <c r="Y48" s="22">
        <f>SUMIF([1]!NonNurse[STATE], State112019[[#This Row],[State]], [1]!NonNurse[Hrs_Admin])/SUMIF([1]!NonNurse[STATE], State112019[[#This Row],[State]], [1]!NonNurse[MDScensus])*60</f>
        <v>5.5194364602977384</v>
      </c>
      <c r="Z48" s="23">
        <f>RANK(State112019[[#This Row],[Total Admin MPRD]],State112019[Total Admin MPRD])</f>
        <v>8</v>
      </c>
      <c r="AA48" s="22">
        <f>SUMIF([1]!NonNurse[STATE], State112019[[#This Row],[State]], [1]!NonNurse[Hrs_MedDir])/SUMIF([1]!NonNurse[STATE], State112019[[#This Row],[State]], [1]!NonNurse[MDScensus])*60</f>
        <v>0.35184367568363761</v>
      </c>
      <c r="AB48" s="23">
        <f>RANK(State112019[[#This Row],[Total MedDir MPRD]],State112019[Total MedDir MPRD])</f>
        <v>10</v>
      </c>
      <c r="AC48" s="22">
        <f>(SUMIF([1]!NonNurse[STATE], State112019[[#This Row],[State]], [1]!NonNurse[Hrs_QualSocWrk]) + SUMIF([1]!NonNurse[STATE], State112019[[#This Row],[State]], [1]!NonNurse[Hrs_OthSocWrk])) / SUMIF([1]!NonNurse[STATE], State112019[[#This Row],[State]], [1]!NonNurse[MDScensus]) * 60</f>
        <v>7.3264905911972553</v>
      </c>
      <c r="AD48" s="23">
        <f>RANK(State112019[[#This Row],[Total Social Work MPRD]],State112019[Total Social Work MPRD])</f>
        <v>11</v>
      </c>
      <c r="AE48" s="22">
        <f>(SUMIF([1]!NonNurse[STATE], State112019[[#This Row],[State]], [1]!NonNurse[Hrs_OT]) + SUMIF([1]!NonNurse[STATE], State112019[[#This Row],[State]], [1]!NonNurse[Hrs_OTasst]) + SUMIF([1]!NonNurse[STATE], State112019[[#This Row],[State]], [1]!NonNurse[Hrs_OTaide])) / SUMIF([1]!NonNurse[STATE], State112019[[#This Row],[State]], [1]!NonNurse[MDScensus]) * 60</f>
        <v>11.314215442104215</v>
      </c>
      <c r="AF48" s="23">
        <f>RANK(State112019[[#This Row],[Total OT MPRD]],State112019[Total OT MPRD])</f>
        <v>2</v>
      </c>
      <c r="AG48" s="22">
        <f>(SUMIF([1]!NonNurse[STATE], State112019[[#This Row],[State]], [1]!NonNurse[Hrs_PT]) + SUMIF([1]!NonNurse[STATE], State112019[[#This Row],[State]], [1]!NonNurse[Hrs_PTasst]) + SUMIF([1]!NonNurse[STATE], State112019[[#This Row],[State]], [1]!NonNurse[Hrs_PTaide])) / SUMIF([1]!NonNurse[STATE], State112019[[#This Row],[State]], [1]!NonNurse[MDScensus]) * 60</f>
        <v>14.497810071847608</v>
      </c>
      <c r="AH48" s="23">
        <f>RANK(State112019[[#This Row],[Total PT MPRD]],State112019[Total PT MPRD])</f>
        <v>2</v>
      </c>
      <c r="AI48" s="22">
        <f>(SUMIF([1]!NonNurse[STATE], State112019[[#This Row],[State]], [1]!NonNurse[Hrs_QualActvProf]) + SUMIF([1]!NonNurse[STATE], State112019[[#This Row],[State]], [1]!NonNurse[Hrs_OthActv])) / SUMIF([1]!NonNurse[STATE], State112019[[#This Row],[State]], [1]!NonNurse[MDScensus]) * 60</f>
        <v>7.9310305396034089</v>
      </c>
      <c r="AJ48" s="20">
        <f>RANK(State112019[[#This Row],[Total Activities MPRD]], State112019[Total Activities MPRD])</f>
        <v>36</v>
      </c>
      <c r="AL48" s="21"/>
    </row>
    <row r="49" spans="22:38" s="9" customFormat="1" ht="15" customHeight="1" x14ac:dyDescent="0.2">
      <c r="V49" s="21" t="s">
        <v>230</v>
      </c>
      <c r="W49" s="23">
        <f>SUMIF([1]!NonNurse[STATE], State112019[[#This Row],[State]], [1]!NonNurse[MDScensus])</f>
        <v>28389.588888888793</v>
      </c>
      <c r="X49" s="23">
        <f>COUNTIF([1]!NonNurse[STATE], State112019[[#This Row],[State]])</f>
        <v>289</v>
      </c>
      <c r="Y49" s="22">
        <f>SUMIF([1]!NonNurse[STATE], State112019[[#This Row],[State]], [1]!NonNurse[Hrs_Admin])/SUMIF([1]!NonNurse[STATE], State112019[[#This Row],[State]], [1]!NonNurse[MDScensus])*60</f>
        <v>3.2958605717354179</v>
      </c>
      <c r="Z49" s="23">
        <f>RANK(State112019[[#This Row],[Total Admin MPRD]],State112019[Total Admin MPRD])</f>
        <v>46</v>
      </c>
      <c r="AA49" s="22">
        <f>SUMIF([1]!NonNurse[STATE], State112019[[#This Row],[State]], [1]!NonNurse[Hrs_MedDir])/SUMIF([1]!NonNurse[STATE], State112019[[#This Row],[State]], [1]!NonNurse[MDScensus])*60</f>
        <v>0.21856815272265348</v>
      </c>
      <c r="AB49" s="23">
        <f>RANK(State112019[[#This Row],[Total MedDir MPRD]],State112019[Total MedDir MPRD])</f>
        <v>38</v>
      </c>
      <c r="AC49" s="22">
        <f>(SUMIF([1]!NonNurse[STATE], State112019[[#This Row],[State]], [1]!NonNurse[Hrs_QualSocWrk]) + SUMIF([1]!NonNurse[STATE], State112019[[#This Row],[State]], [1]!NonNurse[Hrs_OthSocWrk])) / SUMIF([1]!NonNurse[STATE], State112019[[#This Row],[State]], [1]!NonNurse[MDScensus]) * 60</f>
        <v>5.1615588343614291</v>
      </c>
      <c r="AD49" s="23">
        <f>RANK(State112019[[#This Row],[Total Social Work MPRD]],State112019[Total Social Work MPRD])</f>
        <v>32</v>
      </c>
      <c r="AE49" s="22">
        <f>(SUMIF([1]!NonNurse[STATE], State112019[[#This Row],[State]], [1]!NonNurse[Hrs_OT]) + SUMIF([1]!NonNurse[STATE], State112019[[#This Row],[State]], [1]!NonNurse[Hrs_OTasst]) + SUMIF([1]!NonNurse[STATE], State112019[[#This Row],[State]], [1]!NonNurse[Hrs_OTaide])) / SUMIF([1]!NonNurse[STATE], State112019[[#This Row],[State]], [1]!NonNurse[MDScensus]) * 60</f>
        <v>8.7843199952408337</v>
      </c>
      <c r="AF49" s="23">
        <f>RANK(State112019[[#This Row],[Total OT MPRD]],State112019[Total OT MPRD])</f>
        <v>15</v>
      </c>
      <c r="AG49" s="22">
        <f>(SUMIF([1]!NonNurse[STATE], State112019[[#This Row],[State]], [1]!NonNurse[Hrs_PT]) + SUMIF([1]!NonNurse[STATE], State112019[[#This Row],[State]], [1]!NonNurse[Hrs_PTasst]) + SUMIF([1]!NonNurse[STATE], State112019[[#This Row],[State]], [1]!NonNurse[Hrs_PTaide])) / SUMIF([1]!NonNurse[STATE], State112019[[#This Row],[State]], [1]!NonNurse[MDScensus]) * 60</f>
        <v>10.285851894845658</v>
      </c>
      <c r="AH49" s="23">
        <f>RANK(State112019[[#This Row],[Total PT MPRD]],State112019[Total PT MPRD])</f>
        <v>15</v>
      </c>
      <c r="AI49" s="22">
        <f>(SUMIF([1]!NonNurse[STATE], State112019[[#This Row],[State]], [1]!NonNurse[Hrs_QualActvProf]) + SUMIF([1]!NonNurse[STATE], State112019[[#This Row],[State]], [1]!NonNurse[Hrs_OthActv])) / SUMIF([1]!NonNurse[STATE], State112019[[#This Row],[State]], [1]!NonNurse[MDScensus]) * 60</f>
        <v>7.8707902701420798</v>
      </c>
      <c r="AJ49" s="20">
        <f>RANK(State112019[[#This Row],[Total Activities MPRD]], State112019[Total Activities MPRD])</f>
        <v>37</v>
      </c>
      <c r="AL49" s="21"/>
    </row>
    <row r="50" spans="22:38" s="9" customFormat="1" ht="15" customHeight="1" x14ac:dyDescent="0.2">
      <c r="V50" s="21" t="s">
        <v>229</v>
      </c>
      <c r="W50" s="23">
        <f>SUMIF([1]!NonNurse[STATE], State112019[[#This Row],[State]], [1]!NonNurse[MDScensus])</f>
        <v>2423.9666666666617</v>
      </c>
      <c r="X50" s="23">
        <f>COUNTIF([1]!NonNurse[STATE], State112019[[#This Row],[State]])</f>
        <v>34</v>
      </c>
      <c r="Y50" s="22">
        <f>SUMIF([1]!NonNurse[STATE], State112019[[#This Row],[State]], [1]!NonNurse[Hrs_Admin])/SUMIF([1]!NonNurse[STATE], State112019[[#This Row],[State]], [1]!NonNurse[MDScensus])*60</f>
        <v>4.2784444230531262</v>
      </c>
      <c r="Z50" s="23">
        <f>RANK(State112019[[#This Row],[Total Admin MPRD]],State112019[Total Admin MPRD])</f>
        <v>24</v>
      </c>
      <c r="AA50" s="22">
        <f>SUMIF([1]!NonNurse[STATE], State112019[[#This Row],[State]], [1]!NonNurse[Hrs_MedDir])/SUMIF([1]!NonNurse[STATE], State112019[[#This Row],[State]], [1]!NonNurse[MDScensus])*60</f>
        <v>0.40364966514941086</v>
      </c>
      <c r="AB50" s="23">
        <f>RANK(State112019[[#This Row],[Total MedDir MPRD]],State112019[Total MedDir MPRD])</f>
        <v>5</v>
      </c>
      <c r="AC50" s="22">
        <f>(SUMIF([1]!NonNurse[STATE], State112019[[#This Row],[State]], [1]!NonNurse[Hrs_QualSocWrk]) + SUMIF([1]!NonNurse[STATE], State112019[[#This Row],[State]], [1]!NonNurse[Hrs_OthSocWrk])) / SUMIF([1]!NonNurse[STATE], State112019[[#This Row],[State]], [1]!NonNurse[MDScensus]) * 60</f>
        <v>5.4591234752953195</v>
      </c>
      <c r="AD50" s="23">
        <f>RANK(State112019[[#This Row],[Total Social Work MPRD]],State112019[Total Social Work MPRD])</f>
        <v>27</v>
      </c>
      <c r="AE50" s="22">
        <f>(SUMIF([1]!NonNurse[STATE], State112019[[#This Row],[State]], [1]!NonNurse[Hrs_OT]) + SUMIF([1]!NonNurse[STATE], State112019[[#This Row],[State]], [1]!NonNurse[Hrs_OTasst]) + SUMIF([1]!NonNurse[STATE], State112019[[#This Row],[State]], [1]!NonNurse[Hrs_OTaide])) / SUMIF([1]!NonNurse[STATE], State112019[[#This Row],[State]], [1]!NonNurse[MDScensus]) * 60</f>
        <v>7.3316079704066404</v>
      </c>
      <c r="AF50" s="23">
        <f>RANK(State112019[[#This Row],[Total OT MPRD]],State112019[Total OT MPRD])</f>
        <v>34</v>
      </c>
      <c r="AG50" s="22">
        <f>(SUMIF([1]!NonNurse[STATE], State112019[[#This Row],[State]], [1]!NonNurse[Hrs_PT]) + SUMIF([1]!NonNurse[STATE], State112019[[#This Row],[State]], [1]!NonNurse[Hrs_PTasst]) + SUMIF([1]!NonNurse[STATE], State112019[[#This Row],[State]], [1]!NonNurse[Hrs_PTaide])) / SUMIF([1]!NonNurse[STATE], State112019[[#This Row],[State]], [1]!NonNurse[MDScensus]) * 60</f>
        <v>9.1144405176088785</v>
      </c>
      <c r="AH50" s="23">
        <f>RANK(State112019[[#This Row],[Total PT MPRD]],State112019[Total PT MPRD])</f>
        <v>25</v>
      </c>
      <c r="AI50" s="22">
        <f>(SUMIF([1]!NonNurse[STATE], State112019[[#This Row],[State]], [1]!NonNurse[Hrs_QualActvProf]) + SUMIF([1]!NonNurse[STATE], State112019[[#This Row],[State]], [1]!NonNurse[Hrs_OthActv])) / SUMIF([1]!NonNurse[STATE], State112019[[#This Row],[State]], [1]!NonNurse[MDScensus]) * 60</f>
        <v>15.360557763445593</v>
      </c>
      <c r="AJ50" s="20">
        <f>RANK(State112019[[#This Row],[Total Activities MPRD]], State112019[Total Activities MPRD])</f>
        <v>6</v>
      </c>
      <c r="AL50" s="21"/>
    </row>
    <row r="51" spans="22:38" s="9" customFormat="1" ht="15" customHeight="1" x14ac:dyDescent="0.2">
      <c r="V51" s="21" t="s">
        <v>228</v>
      </c>
      <c r="W51" s="23">
        <f>SUMIF([1]!NonNurse[STATE], State112019[[#This Row],[State]], [1]!NonNurse[MDScensus])</f>
        <v>13856.033333333311</v>
      </c>
      <c r="X51" s="23">
        <f>COUNTIF([1]!NonNurse[STATE], State112019[[#This Row],[State]])</f>
        <v>189</v>
      </c>
      <c r="Y51" s="22">
        <f>SUMIF([1]!NonNurse[STATE], State112019[[#This Row],[State]], [1]!NonNurse[Hrs_Admin])/SUMIF([1]!NonNurse[STATE], State112019[[#This Row],[State]], [1]!NonNurse[MDScensus])*60</f>
        <v>4.5774620442117877</v>
      </c>
      <c r="Z51" s="23">
        <f>RANK(State112019[[#This Row],[Total Admin MPRD]],State112019[Total Admin MPRD])</f>
        <v>20</v>
      </c>
      <c r="AA51" s="22">
        <f>SUMIF([1]!NonNurse[STATE], State112019[[#This Row],[State]], [1]!NonNurse[Hrs_MedDir])/SUMIF([1]!NonNurse[STATE], State112019[[#This Row],[State]], [1]!NonNurse[MDScensus])*60</f>
        <v>0.31180785265624372</v>
      </c>
      <c r="AB51" s="23">
        <f>RANK(State112019[[#This Row],[Total MedDir MPRD]],State112019[Total MedDir MPRD])</f>
        <v>16</v>
      </c>
      <c r="AC51" s="22">
        <f>(SUMIF([1]!NonNurse[STATE], State112019[[#This Row],[State]], [1]!NonNurse[Hrs_QualSocWrk]) + SUMIF([1]!NonNurse[STATE], State112019[[#This Row],[State]], [1]!NonNurse[Hrs_OthSocWrk])) / SUMIF([1]!NonNurse[STATE], State112019[[#This Row],[State]], [1]!NonNurse[MDScensus]) * 60</f>
        <v>8.5640849593799064</v>
      </c>
      <c r="AD51" s="23">
        <f>RANK(State112019[[#This Row],[Total Social Work MPRD]],State112019[Total Social Work MPRD])</f>
        <v>5</v>
      </c>
      <c r="AE51" s="22">
        <f>(SUMIF([1]!NonNurse[STATE], State112019[[#This Row],[State]], [1]!NonNurse[Hrs_OT]) + SUMIF([1]!NonNurse[STATE], State112019[[#This Row],[State]], [1]!NonNurse[Hrs_OTasst]) + SUMIF([1]!NonNurse[STATE], State112019[[#This Row],[State]], [1]!NonNurse[Hrs_OTaide])) / SUMIF([1]!NonNurse[STATE], State112019[[#This Row],[State]], [1]!NonNurse[MDScensus]) * 60</f>
        <v>8.2423382353294912</v>
      </c>
      <c r="AF51" s="23">
        <f>RANK(State112019[[#This Row],[Total OT MPRD]],State112019[Total OT MPRD])</f>
        <v>25</v>
      </c>
      <c r="AG51" s="22">
        <f>(SUMIF([1]!NonNurse[STATE], State112019[[#This Row],[State]], [1]!NonNurse[Hrs_PT]) + SUMIF([1]!NonNurse[STATE], State112019[[#This Row],[State]], [1]!NonNurse[Hrs_PTasst]) + SUMIF([1]!NonNurse[STATE], State112019[[#This Row],[State]], [1]!NonNurse[Hrs_PTaide])) / SUMIF([1]!NonNurse[STATE], State112019[[#This Row],[State]], [1]!NonNurse[MDScensus]) * 60</f>
        <v>10.761235659075101</v>
      </c>
      <c r="AH51" s="23">
        <f>RANK(State112019[[#This Row],[Total PT MPRD]],State112019[Total PT MPRD])</f>
        <v>13</v>
      </c>
      <c r="AI51" s="22">
        <f>(SUMIF([1]!NonNurse[STATE], State112019[[#This Row],[State]], [1]!NonNurse[Hrs_QualActvProf]) + SUMIF([1]!NonNurse[STATE], State112019[[#This Row],[State]], [1]!NonNurse[Hrs_OthActv])) / SUMIF([1]!NonNurse[STATE], State112019[[#This Row],[State]], [1]!NonNurse[MDScensus]) * 60</f>
        <v>9.6028108092503661</v>
      </c>
      <c r="AJ51" s="20">
        <f>RANK(State112019[[#This Row],[Total Activities MPRD]], State112019[Total Activities MPRD])</f>
        <v>30</v>
      </c>
      <c r="AL51" s="21"/>
    </row>
    <row r="52" spans="22:38" s="9" customFormat="1" ht="15" customHeight="1" x14ac:dyDescent="0.2">
      <c r="V52" s="21" t="s">
        <v>227</v>
      </c>
      <c r="W52" s="23">
        <f>SUMIF([1]!NonNurse[STATE], State112019[[#This Row],[State]], [1]!NonNurse[MDScensus])</f>
        <v>17613.044444444415</v>
      </c>
      <c r="X52" s="23">
        <f>COUNTIF([1]!NonNurse[STATE], State112019[[#This Row],[State]])</f>
        <v>323</v>
      </c>
      <c r="Y52" s="22">
        <f>SUMIF([1]!NonNurse[STATE], State112019[[#This Row],[State]], [1]!NonNurse[Hrs_Admin])/SUMIF([1]!NonNurse[STATE], State112019[[#This Row],[State]], [1]!NonNurse[MDScensus])*60</f>
        <v>5.8245274020391431</v>
      </c>
      <c r="Z52" s="23">
        <f>RANK(State112019[[#This Row],[Total Admin MPRD]],State112019[Total Admin MPRD])</f>
        <v>4</v>
      </c>
      <c r="AA52" s="22">
        <f>SUMIF([1]!NonNurse[STATE], State112019[[#This Row],[State]], [1]!NonNurse[Hrs_MedDir])/SUMIF([1]!NonNurse[STATE], State112019[[#This Row],[State]], [1]!NonNurse[MDScensus])*60</f>
        <v>0.27379745062687127</v>
      </c>
      <c r="AB52" s="23">
        <f>RANK(State112019[[#This Row],[Total MedDir MPRD]],State112019[Total MedDir MPRD])</f>
        <v>22</v>
      </c>
      <c r="AC52" s="22">
        <f>(SUMIF([1]!NonNurse[STATE], State112019[[#This Row],[State]], [1]!NonNurse[Hrs_QualSocWrk]) + SUMIF([1]!NonNurse[STATE], State112019[[#This Row],[State]], [1]!NonNurse[Hrs_OthSocWrk])) / SUMIF([1]!NonNurse[STATE], State112019[[#This Row],[State]], [1]!NonNurse[MDScensus]) * 60</f>
        <v>7.4332653702369571</v>
      </c>
      <c r="AD52" s="23">
        <f>RANK(State112019[[#This Row],[Total Social Work MPRD]],State112019[Total Social Work MPRD])</f>
        <v>9</v>
      </c>
      <c r="AE52" s="22">
        <f>(SUMIF([1]!NonNurse[STATE], State112019[[#This Row],[State]], [1]!NonNurse[Hrs_OT]) + SUMIF([1]!NonNurse[STATE], State112019[[#This Row],[State]], [1]!NonNurse[Hrs_OTasst]) + SUMIF([1]!NonNurse[STATE], State112019[[#This Row],[State]], [1]!NonNurse[Hrs_OTaide])) / SUMIF([1]!NonNurse[STATE], State112019[[#This Row],[State]], [1]!NonNurse[MDScensus]) * 60</f>
        <v>7.40812226291877</v>
      </c>
      <c r="AF52" s="23">
        <f>RANK(State112019[[#This Row],[Total OT MPRD]],State112019[Total OT MPRD])</f>
        <v>33</v>
      </c>
      <c r="AG52" s="22">
        <f>(SUMIF([1]!NonNurse[STATE], State112019[[#This Row],[State]], [1]!NonNurse[Hrs_PT]) + SUMIF([1]!NonNurse[STATE], State112019[[#This Row],[State]], [1]!NonNurse[Hrs_PTasst]) + SUMIF([1]!NonNurse[STATE], State112019[[#This Row],[State]], [1]!NonNurse[Hrs_PTaide])) / SUMIF([1]!NonNurse[STATE], State112019[[#This Row],[State]], [1]!NonNurse[MDScensus]) * 60</f>
        <v>8.402799818821153</v>
      </c>
      <c r="AH52" s="23">
        <f>RANK(State112019[[#This Row],[Total PT MPRD]],State112019[Total PT MPRD])</f>
        <v>33</v>
      </c>
      <c r="AI52" s="22">
        <f>(SUMIF([1]!NonNurse[STATE], State112019[[#This Row],[State]], [1]!NonNurse[Hrs_QualActvProf]) + SUMIF([1]!NonNurse[STATE], State112019[[#This Row],[State]], [1]!NonNurse[Hrs_OthActv])) / SUMIF([1]!NonNurse[STATE], State112019[[#This Row],[State]], [1]!NonNurse[MDScensus]) * 60</f>
        <v>12.873986325791359</v>
      </c>
      <c r="AJ52" s="20">
        <f>RANK(State112019[[#This Row],[Total Activities MPRD]], State112019[Total Activities MPRD])</f>
        <v>12</v>
      </c>
      <c r="AL52" s="21"/>
    </row>
    <row r="53" spans="22:38" s="9" customFormat="1" ht="15" customHeight="1" x14ac:dyDescent="0.2">
      <c r="V53" s="21" t="s">
        <v>226</v>
      </c>
      <c r="W53" s="23">
        <f>SUMIF([1]!NonNurse[STATE], State112019[[#This Row],[State]], [1]!NonNurse[MDScensus])</f>
        <v>9469.033333333311</v>
      </c>
      <c r="X53" s="23">
        <f>COUNTIF([1]!NonNurse[STATE], State112019[[#This Row],[State]])</f>
        <v>121</v>
      </c>
      <c r="Y53" s="22">
        <f>SUMIF([1]!NonNurse[STATE], State112019[[#This Row],[State]], [1]!NonNurse[Hrs_Admin])/SUMIF([1]!NonNurse[STATE], State112019[[#This Row],[State]], [1]!NonNurse[MDScensus])*60</f>
        <v>3.9448947622249424</v>
      </c>
      <c r="Z53" s="23">
        <f>RANK(State112019[[#This Row],[Total Admin MPRD]],State112019[Total Admin MPRD])</f>
        <v>30</v>
      </c>
      <c r="AA53" s="22">
        <f>SUMIF([1]!NonNurse[STATE], State112019[[#This Row],[State]], [1]!NonNurse[Hrs_MedDir])/SUMIF([1]!NonNurse[STATE], State112019[[#This Row],[State]], [1]!NonNurse[MDScensus])*60</f>
        <v>0.34258266419310685</v>
      </c>
      <c r="AB53" s="23">
        <f>RANK(State112019[[#This Row],[Total MedDir MPRD]],State112019[Total MedDir MPRD])</f>
        <v>12</v>
      </c>
      <c r="AC53" s="22">
        <f>(SUMIF([1]!NonNurse[STATE], State112019[[#This Row],[State]], [1]!NonNurse[Hrs_QualSocWrk]) + SUMIF([1]!NonNurse[STATE], State112019[[#This Row],[State]], [1]!NonNurse[Hrs_OthSocWrk])) / SUMIF([1]!NonNurse[STATE], State112019[[#This Row],[State]], [1]!NonNurse[MDScensus]) * 60</f>
        <v>5.5577570396133371</v>
      </c>
      <c r="AD53" s="23">
        <f>RANK(State112019[[#This Row],[Total Social Work MPRD]],State112019[Total Social Work MPRD])</f>
        <v>24</v>
      </c>
      <c r="AE53" s="22">
        <f>(SUMIF([1]!NonNurse[STATE], State112019[[#This Row],[State]], [1]!NonNurse[Hrs_OT]) + SUMIF([1]!NonNurse[STATE], State112019[[#This Row],[State]], [1]!NonNurse[Hrs_OTasst]) + SUMIF([1]!NonNurse[STATE], State112019[[#This Row],[State]], [1]!NonNurse[Hrs_OTaide])) / SUMIF([1]!NonNurse[STATE], State112019[[#This Row],[State]], [1]!NonNurse[MDScensus]) * 60</f>
        <v>7.1260100467840823</v>
      </c>
      <c r="AF53" s="23">
        <f>RANK(State112019[[#This Row],[Total OT MPRD]],State112019[Total OT MPRD])</f>
        <v>36</v>
      </c>
      <c r="AG53" s="22">
        <f>(SUMIF([1]!NonNurse[STATE], State112019[[#This Row],[State]], [1]!NonNurse[Hrs_PT]) + SUMIF([1]!NonNurse[STATE], State112019[[#This Row],[State]], [1]!NonNurse[Hrs_PTasst]) + SUMIF([1]!NonNurse[STATE], State112019[[#This Row],[State]], [1]!NonNurse[Hrs_PTaide])) / SUMIF([1]!NonNurse[STATE], State112019[[#This Row],[State]], [1]!NonNurse[MDScensus]) * 60</f>
        <v>8.1732517574831665</v>
      </c>
      <c r="AH53" s="23">
        <f>RANK(State112019[[#This Row],[Total PT MPRD]],State112019[Total PT MPRD])</f>
        <v>35</v>
      </c>
      <c r="AI53" s="22">
        <f>(SUMIF([1]!NonNurse[STATE], State112019[[#This Row],[State]], [1]!NonNurse[Hrs_QualActvProf]) + SUMIF([1]!NonNurse[STATE], State112019[[#This Row],[State]], [1]!NonNurse[Hrs_OthActv])) / SUMIF([1]!NonNurse[STATE], State112019[[#This Row],[State]], [1]!NonNurse[MDScensus]) * 60</f>
        <v>15.088173731215088</v>
      </c>
      <c r="AJ53" s="20">
        <f>RANK(State112019[[#This Row],[Total Activities MPRD]], State112019[Total Activities MPRD])</f>
        <v>7</v>
      </c>
      <c r="AL53" s="21"/>
    </row>
    <row r="54" spans="22:38" s="9" customFormat="1" ht="15" customHeight="1" x14ac:dyDescent="0.2">
      <c r="V54" s="21" t="s">
        <v>225</v>
      </c>
      <c r="W54" s="23">
        <f>SUMIF([1]!NonNurse[STATE], State112019[[#This Row],[State]], [1]!NonNurse[MDScensus])</f>
        <v>1902.9333333333311</v>
      </c>
      <c r="X54" s="23">
        <f>COUNTIF([1]!NonNurse[STATE], State112019[[#This Row],[State]])</f>
        <v>32</v>
      </c>
      <c r="Y54" s="22">
        <f>SUMIF([1]!NonNurse[STATE], State112019[[#This Row],[State]], [1]!NonNurse[Hrs_Admin])/SUMIF([1]!NonNurse[STATE], State112019[[#This Row],[State]], [1]!NonNurse[MDScensus])*60</f>
        <v>5.3721867993273538</v>
      </c>
      <c r="Z54" s="23">
        <f>RANK(State112019[[#This Row],[Total Admin MPRD]],State112019[Total Admin MPRD])</f>
        <v>11</v>
      </c>
      <c r="AA54" s="22">
        <f>SUMIF([1]!NonNurse[STATE], State112019[[#This Row],[State]], [1]!NonNurse[Hrs_MedDir])/SUMIF([1]!NonNurse[STATE], State112019[[#This Row],[State]], [1]!NonNurse[MDScensus])*60</f>
        <v>0.32502452354260075</v>
      </c>
      <c r="AB54" s="23">
        <f>RANK(State112019[[#This Row],[Total MedDir MPRD]],State112019[Total MedDir MPRD])</f>
        <v>14</v>
      </c>
      <c r="AC54" s="22">
        <f>(SUMIF([1]!NonNurse[STATE], State112019[[#This Row],[State]], [1]!NonNurse[Hrs_QualSocWrk]) + SUMIF([1]!NonNurse[STATE], State112019[[#This Row],[State]], [1]!NonNurse[Hrs_OthSocWrk])) / SUMIF([1]!NonNurse[STATE], State112019[[#This Row],[State]], [1]!NonNurse[MDScensus]) * 60</f>
        <v>5.257241451793722</v>
      </c>
      <c r="AD54" s="23">
        <f>RANK(State112019[[#This Row],[Total Social Work MPRD]],State112019[Total Social Work MPRD])</f>
        <v>30</v>
      </c>
      <c r="AE54" s="22">
        <f>(SUMIF([1]!NonNurse[STATE], State112019[[#This Row],[State]], [1]!NonNurse[Hrs_OT]) + SUMIF([1]!NonNurse[STATE], State112019[[#This Row],[State]], [1]!NonNurse[Hrs_OTasst]) + SUMIF([1]!NonNurse[STATE], State112019[[#This Row],[State]], [1]!NonNurse[Hrs_OTaide])) / SUMIF([1]!NonNurse[STATE], State112019[[#This Row],[State]], [1]!NonNurse[MDScensus]) * 60</f>
        <v>5.4169913116591886</v>
      </c>
      <c r="AF54" s="23">
        <f>RANK(State112019[[#This Row],[Total OT MPRD]],State112019[Total OT MPRD])</f>
        <v>46</v>
      </c>
      <c r="AG54" s="22">
        <f>(SUMIF([1]!NonNurse[STATE], State112019[[#This Row],[State]], [1]!NonNurse[Hrs_PT]) + SUMIF([1]!NonNurse[STATE], State112019[[#This Row],[State]], [1]!NonNurse[Hrs_PTasst]) + SUMIF([1]!NonNurse[STATE], State112019[[#This Row],[State]], [1]!NonNurse[Hrs_PTaide])) / SUMIF([1]!NonNurse[STATE], State112019[[#This Row],[State]], [1]!NonNurse[MDScensus]) * 60</f>
        <v>4.6623948991031385</v>
      </c>
      <c r="AH54" s="23">
        <f>RANK(State112019[[#This Row],[Total PT MPRD]],State112019[Total PT MPRD])</f>
        <v>52</v>
      </c>
      <c r="AI54" s="22">
        <f>(SUMIF([1]!NonNurse[STATE], State112019[[#This Row],[State]], [1]!NonNurse[Hrs_QualActvProf]) + SUMIF([1]!NonNurse[STATE], State112019[[#This Row],[State]], [1]!NonNurse[Hrs_OthActv])) / SUMIF([1]!NonNurse[STATE], State112019[[#This Row],[State]], [1]!NonNurse[MDScensus]) * 60</f>
        <v>13.121671804932726</v>
      </c>
      <c r="AJ54" s="20">
        <f>RANK(State112019[[#This Row],[Total Activities MPRD]], State112019[Total Activities MPRD])</f>
        <v>10</v>
      </c>
      <c r="AL54" s="21"/>
    </row>
    <row r="55" spans="22:38" s="9" customFormat="1" ht="15" customHeight="1" x14ac:dyDescent="0.2">
      <c r="W55" s="20"/>
      <c r="X55" s="20"/>
      <c r="Y55" s="20"/>
      <c r="Z55" s="20"/>
      <c r="AA55" s="20"/>
      <c r="AB55" s="20"/>
      <c r="AC55" s="20"/>
      <c r="AD55" s="20"/>
      <c r="AE55" s="20"/>
      <c r="AF55" s="20"/>
      <c r="AG55" s="20"/>
      <c r="AH55" s="20"/>
      <c r="AI55" s="20"/>
      <c r="AL55" s="21"/>
    </row>
    <row r="56" spans="22:38" s="9" customFormat="1" x14ac:dyDescent="0.2">
      <c r="W56" s="20"/>
      <c r="X56" s="20"/>
      <c r="Y56" s="20"/>
      <c r="Z56" s="20"/>
      <c r="AA56" s="20"/>
      <c r="AB56" s="20"/>
      <c r="AC56" s="20"/>
      <c r="AD56" s="20"/>
      <c r="AE56" s="20"/>
      <c r="AF56" s="20"/>
      <c r="AG56" s="20"/>
      <c r="AH56" s="20"/>
      <c r="AI56" s="20"/>
      <c r="AL56" s="21"/>
    </row>
    <row r="57" spans="22:38" s="9" customFormat="1" x14ac:dyDescent="0.2">
      <c r="W57" s="20"/>
      <c r="X57" s="20"/>
      <c r="Y57" s="20"/>
      <c r="Z57" s="20"/>
      <c r="AA57" s="20"/>
      <c r="AB57" s="20"/>
      <c r="AC57" s="20"/>
      <c r="AD57" s="20"/>
      <c r="AE57" s="20"/>
      <c r="AF57" s="20"/>
      <c r="AG57" s="20"/>
      <c r="AH57" s="20"/>
      <c r="AI57" s="20"/>
      <c r="AL57" s="21"/>
    </row>
    <row r="58" spans="22:38" s="9" customFormat="1" x14ac:dyDescent="0.2">
      <c r="W58" s="20"/>
      <c r="X58" s="20"/>
      <c r="Y58" s="20"/>
      <c r="Z58" s="20"/>
      <c r="AA58" s="20"/>
      <c r="AB58" s="20"/>
      <c r="AC58" s="20"/>
      <c r="AD58" s="20"/>
      <c r="AE58" s="20"/>
      <c r="AF58" s="20"/>
      <c r="AG58" s="20"/>
      <c r="AH58" s="20"/>
      <c r="AI58" s="20"/>
      <c r="AL58" s="21"/>
    </row>
    <row r="59" spans="22:38" s="9" customFormat="1" x14ac:dyDescent="0.2">
      <c r="W59" s="20"/>
      <c r="X59" s="20"/>
      <c r="Y59" s="20"/>
      <c r="Z59" s="20"/>
      <c r="AA59" s="20"/>
      <c r="AB59" s="20"/>
      <c r="AC59" s="20"/>
      <c r="AD59" s="20"/>
      <c r="AE59" s="20"/>
      <c r="AF59" s="20"/>
      <c r="AG59" s="20"/>
      <c r="AH59" s="20"/>
      <c r="AI59" s="20"/>
      <c r="AL59" s="21"/>
    </row>
    <row r="60" spans="22:38" s="9" customFormat="1" x14ac:dyDescent="0.2">
      <c r="W60" s="20"/>
      <c r="X60" s="20"/>
      <c r="Y60" s="20"/>
      <c r="Z60" s="20"/>
      <c r="AA60" s="20"/>
      <c r="AB60" s="20"/>
      <c r="AC60" s="20"/>
      <c r="AD60" s="20"/>
      <c r="AE60" s="20"/>
      <c r="AF60" s="20"/>
      <c r="AG60" s="20"/>
      <c r="AH60" s="20"/>
      <c r="AI60" s="20"/>
      <c r="AL60" s="21"/>
    </row>
    <row r="61" spans="22:38" s="9" customFormat="1" x14ac:dyDescent="0.2">
      <c r="W61" s="20"/>
      <c r="X61" s="20"/>
      <c r="Y61" s="20"/>
      <c r="Z61" s="20"/>
      <c r="AA61" s="20"/>
      <c r="AB61" s="20"/>
      <c r="AC61" s="20"/>
      <c r="AD61" s="20"/>
      <c r="AE61" s="20"/>
      <c r="AF61" s="20"/>
      <c r="AG61" s="20"/>
      <c r="AH61" s="20"/>
      <c r="AI61" s="20"/>
      <c r="AL61" s="21"/>
    </row>
    <row r="62" spans="22:38" s="9" customFormat="1" x14ac:dyDescent="0.2">
      <c r="W62" s="20"/>
      <c r="X62" s="20"/>
      <c r="Y62" s="20"/>
      <c r="Z62" s="20"/>
      <c r="AA62" s="20"/>
      <c r="AB62" s="20"/>
      <c r="AC62" s="20"/>
      <c r="AD62" s="20"/>
      <c r="AE62" s="20"/>
      <c r="AF62" s="20"/>
      <c r="AG62" s="20"/>
      <c r="AH62" s="20"/>
      <c r="AI62" s="20"/>
      <c r="AL62" s="21"/>
    </row>
  </sheetData>
  <pageMargins left="0.7" right="0.7" top="0.75" bottom="0.75" header="0.3" footer="0.3"/>
  <pageSetup orientation="portrait" horizontalDpi="300" verticalDpi="300"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838F1-D72F-3A4E-AB29-7D6D0E2B0DA8}">
  <dimension ref="B2:D27"/>
  <sheetViews>
    <sheetView zoomScale="85" zoomScaleNormal="85" workbookViewId="0">
      <selection activeCell="B38" sqref="B38"/>
    </sheetView>
  </sheetViews>
  <sheetFormatPr baseColWidth="10" defaultColWidth="8.83203125" defaultRowHeight="16" x14ac:dyDescent="0.2"/>
  <cols>
    <col min="1" max="1" width="100.1640625" style="9" customWidth="1"/>
    <col min="2" max="2" width="4.1640625" style="9" customWidth="1"/>
    <col min="3" max="3" width="37.6640625" style="9" customWidth="1"/>
    <col min="4" max="4" width="66.83203125" style="9" customWidth="1"/>
    <col min="5" max="16384" width="8.83203125" style="9"/>
  </cols>
  <sheetData>
    <row r="2" spans="2:4" ht="24" x14ac:dyDescent="0.3">
      <c r="C2" s="16" t="s">
        <v>224</v>
      </c>
      <c r="D2" s="15"/>
    </row>
    <row r="3" spans="2:4" x14ac:dyDescent="0.2">
      <c r="C3" s="19" t="s">
        <v>223</v>
      </c>
      <c r="D3" s="18" t="s">
        <v>222</v>
      </c>
    </row>
    <row r="4" spans="2:4" x14ac:dyDescent="0.2">
      <c r="C4" s="13" t="s">
        <v>201</v>
      </c>
      <c r="D4" s="12" t="s">
        <v>221</v>
      </c>
    </row>
    <row r="5" spans="2:4" x14ac:dyDescent="0.2">
      <c r="C5" s="13" t="s">
        <v>199</v>
      </c>
      <c r="D5" s="12" t="s">
        <v>220</v>
      </c>
    </row>
    <row r="6" spans="2:4" ht="15.75" customHeight="1" x14ac:dyDescent="0.2">
      <c r="C6" s="13" t="s">
        <v>219</v>
      </c>
      <c r="D6" s="12" t="s">
        <v>218</v>
      </c>
    </row>
    <row r="7" spans="2:4" ht="15.75" customHeight="1" x14ac:dyDescent="0.2">
      <c r="C7" s="13" t="s">
        <v>217</v>
      </c>
      <c r="D7" s="12" t="s">
        <v>216</v>
      </c>
    </row>
    <row r="8" spans="2:4" x14ac:dyDescent="0.2">
      <c r="C8" s="13" t="s">
        <v>215</v>
      </c>
      <c r="D8" s="12" t="s">
        <v>214</v>
      </c>
    </row>
    <row r="9" spans="2:4" x14ac:dyDescent="0.2">
      <c r="C9" s="13" t="s">
        <v>213</v>
      </c>
      <c r="D9" s="12" t="s">
        <v>212</v>
      </c>
    </row>
    <row r="10" spans="2:4" x14ac:dyDescent="0.2">
      <c r="B10" s="17"/>
      <c r="C10" s="14" t="s">
        <v>211</v>
      </c>
      <c r="D10" s="13" t="s">
        <v>210</v>
      </c>
    </row>
    <row r="11" spans="2:4" x14ac:dyDescent="0.2">
      <c r="C11" s="13" t="s">
        <v>208</v>
      </c>
      <c r="D11" s="12" t="s">
        <v>207</v>
      </c>
    </row>
    <row r="12" spans="2:4" x14ac:dyDescent="0.2">
      <c r="C12" s="13" t="s">
        <v>206</v>
      </c>
      <c r="D12" s="12" t="s">
        <v>209</v>
      </c>
    </row>
    <row r="13" spans="2:4" x14ac:dyDescent="0.2">
      <c r="C13" s="13" t="s">
        <v>204</v>
      </c>
      <c r="D13" s="12" t="s">
        <v>203</v>
      </c>
    </row>
    <row r="14" spans="2:4" x14ac:dyDescent="0.2">
      <c r="C14" s="13" t="s">
        <v>208</v>
      </c>
      <c r="D14" s="12" t="s">
        <v>207</v>
      </c>
    </row>
    <row r="15" spans="2:4" x14ac:dyDescent="0.2">
      <c r="C15" s="13" t="s">
        <v>206</v>
      </c>
      <c r="D15" s="12" t="s">
        <v>205</v>
      </c>
    </row>
    <row r="16" spans="2:4" x14ac:dyDescent="0.2">
      <c r="C16" s="11" t="s">
        <v>204</v>
      </c>
      <c r="D16" s="10" t="s">
        <v>203</v>
      </c>
    </row>
    <row r="18" spans="3:4" ht="24" x14ac:dyDescent="0.3">
      <c r="C18" s="16" t="s">
        <v>202</v>
      </c>
      <c r="D18" s="15"/>
    </row>
    <row r="19" spans="3:4" x14ac:dyDescent="0.2">
      <c r="C19" s="13" t="s">
        <v>201</v>
      </c>
      <c r="D19" s="12" t="s">
        <v>200</v>
      </c>
    </row>
    <row r="20" spans="3:4" x14ac:dyDescent="0.2">
      <c r="C20" s="13" t="s">
        <v>199</v>
      </c>
      <c r="D20" s="12" t="s">
        <v>198</v>
      </c>
    </row>
    <row r="21" spans="3:4" x14ac:dyDescent="0.2">
      <c r="C21" s="13" t="s">
        <v>197</v>
      </c>
      <c r="D21" s="12" t="s">
        <v>196</v>
      </c>
    </row>
    <row r="22" spans="3:4" x14ac:dyDescent="0.2">
      <c r="C22" s="14" t="s">
        <v>195</v>
      </c>
      <c r="D22" s="13" t="s">
        <v>194</v>
      </c>
    </row>
    <row r="23" spans="3:4" x14ac:dyDescent="0.2">
      <c r="C23" s="13" t="s">
        <v>193</v>
      </c>
      <c r="D23" s="12" t="s">
        <v>192</v>
      </c>
    </row>
    <row r="24" spans="3:4" x14ac:dyDescent="0.2">
      <c r="C24" s="13" t="s">
        <v>191</v>
      </c>
      <c r="D24" s="12" t="s">
        <v>190</v>
      </c>
    </row>
    <row r="25" spans="3:4" x14ac:dyDescent="0.2">
      <c r="C25" s="13" t="s">
        <v>189</v>
      </c>
      <c r="D25" s="12" t="s">
        <v>188</v>
      </c>
    </row>
    <row r="26" spans="3:4" x14ac:dyDescent="0.2">
      <c r="C26" s="13" t="s">
        <v>187</v>
      </c>
      <c r="D26" s="12" t="s">
        <v>186</v>
      </c>
    </row>
    <row r="27" spans="3:4" x14ac:dyDescent="0.2">
      <c r="C27" s="11" t="s">
        <v>185</v>
      </c>
      <c r="D27" s="10" t="s">
        <v>184</v>
      </c>
    </row>
  </sheetData>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29DBE2DD9EFD4B81439A397942DC8A" ma:contentTypeVersion="19" ma:contentTypeDescription="Create a new document." ma:contentTypeScope="" ma:versionID="3d1a1be3a454c0b5e3a1995cb515e1b0">
  <xsd:schema xmlns:xsd="http://www.w3.org/2001/XMLSchema" xmlns:xs="http://www.w3.org/2001/XMLSchema" xmlns:p="http://schemas.microsoft.com/office/2006/metadata/properties" xmlns:ns1="http://schemas.microsoft.com/sharepoint/v3" xmlns:ns2="821b467c-dfb8-4b22-84bd-4d3765027b35" xmlns:ns3="1e6f2d80-2360-440b-a86f-4e374efa82c3" targetNamespace="http://schemas.microsoft.com/office/2006/metadata/properties" ma:root="true" ma:fieldsID="20ca824cb0e5c45a3d012b0e8ac38205" ns1:_="" ns2:_="" ns3:_="">
    <xsd:import namespace="http://schemas.microsoft.com/sharepoint/v3"/>
    <xsd:import namespace="821b467c-dfb8-4b22-84bd-4d3765027b35"/>
    <xsd:import namespace="1e6f2d80-2360-440b-a86f-4e374efa82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PublishingStartDate" minOccurs="0"/>
                <xsd:element ref="ns1:PublishingExpirationDate"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1b467c-dfb8-4b22-84bd-4d3765027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74a1e43-e871-45bc-b1a6-ad45634f00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6f2d80-2360-440b-a86f-4e374efa82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e4c48b5-122d-403b-b688-6e74920fb17a}" ma:internalName="TaxCatchAll" ma:showField="CatchAllData" ma:web="1e6f2d80-2360-440b-a86f-4e374efa82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e6f2d80-2360-440b-a86f-4e374efa82c3" xsi:nil="true"/>
    <PublishingExpirationDate xmlns="http://schemas.microsoft.com/sharepoint/v3" xsi:nil="true"/>
    <lcf76f155ced4ddcb4097134ff3c332f xmlns="821b467c-dfb8-4b22-84bd-4d3765027b35">
      <Terms xmlns="http://schemas.microsoft.com/office/infopath/2007/PartnerControls"/>
    </lcf76f155ced4ddcb4097134ff3c332f>
    <PublishingStartDate xmlns="http://schemas.microsoft.com/sharepoint/v3" xsi:nil="true"/>
  </documentManagement>
</p:properties>
</file>

<file path=customXml/itemProps1.xml><?xml version="1.0" encoding="utf-8"?>
<ds:datastoreItem xmlns:ds="http://schemas.openxmlformats.org/officeDocument/2006/customXml" ds:itemID="{44080FF5-43C8-4207-84B4-CE5711B5BF77}"/>
</file>

<file path=customXml/itemProps2.xml><?xml version="1.0" encoding="utf-8"?>
<ds:datastoreItem xmlns:ds="http://schemas.openxmlformats.org/officeDocument/2006/customXml" ds:itemID="{DBFE1A6E-2F93-4EA6-9155-3D80841F429F}"/>
</file>

<file path=customXml/itemProps3.xml><?xml version="1.0" encoding="utf-8"?>
<ds:datastoreItem xmlns:ds="http://schemas.openxmlformats.org/officeDocument/2006/customXml" ds:itemID="{6DA5BB69-B73A-4DFB-AAC1-85A2BCCA99E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Summary NonNurse-Region &amp; State</vt:lpstr>
      <vt:lpstr>Notes &amp;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Mollot</dc:creator>
  <cp:lastModifiedBy>Richard Mollot</cp:lastModifiedBy>
  <dcterms:created xsi:type="dcterms:W3CDTF">2025-10-06T15:42:23Z</dcterms:created>
  <dcterms:modified xsi:type="dcterms:W3CDTF">2025-10-06T15:53:38Z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0x0101009129DBE2DD9EFD4B81439A397942DC8A</vt:lpwstr>
  </property>
</Properties>
</file>