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26"/>
  <workbookPr defaultThemeVersion="166925"/>
  <mc:AlternateContent xmlns:mc="http://schemas.openxmlformats.org/markup-compatibility/2006">
    <mc:Choice Requires="x15">
      <x15ac:absPath xmlns:x15ac="http://schemas.microsoft.com/office/spreadsheetml/2010/11/ac" url="/Users/richardmollot/Library/CloudStorage/Dropbox/Documents/MedicareMedicaid/Nursing Home/SNF PBJ Data/SNF PBJ 2024 Q4/"/>
    </mc:Choice>
  </mc:AlternateContent>
  <xr:revisionPtr revIDLastSave="0" documentId="13_ncr:1_{7B63C8DF-0EAE-714F-8E12-2DB67138C300}" xr6:coauthVersionLast="47" xr6:coauthVersionMax="47" xr10:uidLastSave="{00000000-0000-0000-0000-000000000000}"/>
  <bookViews>
    <workbookView xWindow="1520" yWindow="500" windowWidth="37800" windowHeight="24040" activeTab="2" xr2:uid="{59CFC80C-4192-444D-9C3D-24E9FC4B118B}"/>
  </bookViews>
  <sheets>
    <sheet name="Non-Nurse" sheetId="19" r:id="rId1"/>
    <sheet name="Summary Data Non-Nurse" sheetId="17" state="hidden" r:id="rId2"/>
    <sheet name="Summary NonNurse-USA" sheetId="20" r:id="rId3"/>
    <sheet name="Notes &amp; Glossary" sheetId="6"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0" i="20" l="1"/>
  <c r="H30" i="20"/>
  <c r="I30" i="20" s="1"/>
  <c r="J29" i="20"/>
  <c r="H29" i="20"/>
  <c r="I29" i="20" s="1"/>
  <c r="J28" i="20"/>
  <c r="H28" i="20"/>
  <c r="I28" i="20" s="1"/>
  <c r="J27" i="20"/>
  <c r="H27" i="20"/>
  <c r="I27" i="20" s="1"/>
  <c r="J26" i="20"/>
  <c r="H26" i="20"/>
  <c r="I26" i="20" s="1"/>
  <c r="J25" i="20"/>
  <c r="H25" i="20"/>
  <c r="I25" i="20" s="1"/>
  <c r="J24" i="20"/>
  <c r="H24" i="20"/>
  <c r="I24" i="20" s="1"/>
  <c r="J23" i="20"/>
  <c r="H23" i="20"/>
  <c r="I23" i="20" s="1"/>
  <c r="J22" i="20"/>
  <c r="H22" i="20"/>
  <c r="I22" i="20" s="1"/>
  <c r="J21" i="20"/>
  <c r="H21" i="20"/>
  <c r="I21" i="20" s="1"/>
  <c r="J20" i="20"/>
  <c r="H20" i="20"/>
  <c r="I20" i="20" s="1"/>
  <c r="J19" i="20"/>
  <c r="H19" i="20"/>
  <c r="I19" i="20" s="1"/>
  <c r="J18" i="20"/>
  <c r="H18" i="20"/>
  <c r="I18" i="20" s="1"/>
  <c r="J17" i="20"/>
  <c r="H17" i="20"/>
  <c r="I17" i="20" s="1"/>
  <c r="J16" i="20"/>
  <c r="H16" i="20"/>
  <c r="I16" i="20" s="1"/>
  <c r="J15" i="20"/>
  <c r="H15" i="20"/>
  <c r="I15" i="20" s="1"/>
  <c r="J14" i="20"/>
  <c r="H14" i="20"/>
  <c r="I14" i="20" s="1"/>
  <c r="J13" i="20"/>
  <c r="H13" i="20"/>
  <c r="I13" i="20" s="1"/>
  <c r="C13" i="20"/>
  <c r="J12" i="20"/>
  <c r="H12" i="20"/>
  <c r="I12" i="20" s="1"/>
  <c r="C12" i="20"/>
  <c r="J11" i="20"/>
  <c r="H11" i="20"/>
  <c r="I11" i="20" s="1"/>
  <c r="C11" i="20"/>
  <c r="J10" i="20"/>
  <c r="H10" i="20"/>
  <c r="I10" i="20" s="1"/>
  <c r="C10" i="20"/>
  <c r="J9" i="20"/>
  <c r="H9" i="20"/>
  <c r="I9" i="20" s="1"/>
  <c r="J8" i="20"/>
  <c r="H8" i="20"/>
  <c r="I8" i="20" s="1"/>
  <c r="D8" i="20"/>
  <c r="C8" i="20"/>
  <c r="J7" i="20"/>
  <c r="H7" i="20"/>
  <c r="I7" i="20" s="1"/>
  <c r="D7" i="20"/>
  <c r="C7" i="20"/>
  <c r="J6" i="20"/>
  <c r="H6" i="20"/>
  <c r="I6" i="20" s="1"/>
  <c r="D6" i="20"/>
  <c r="C6" i="20"/>
  <c r="J5" i="20"/>
  <c r="H5" i="20"/>
  <c r="I5" i="20" s="1"/>
  <c r="D5" i="20"/>
  <c r="C5" i="20"/>
  <c r="J4" i="20"/>
  <c r="H4" i="20"/>
  <c r="I4" i="20" s="1"/>
  <c r="C4" i="20"/>
  <c r="J3" i="20"/>
  <c r="H3" i="20"/>
  <c r="I3" i="20" s="1"/>
  <c r="D3" i="20"/>
  <c r="C3" i="20"/>
  <c r="C13" i="17"/>
  <c r="U3" i="17"/>
  <c r="C4" i="17"/>
  <c r="C3" i="17"/>
  <c r="C5" i="17"/>
  <c r="D3" i="17"/>
  <c r="G3" i="17"/>
  <c r="I12" i="17"/>
  <c r="I11" i="17"/>
  <c r="I10" i="17"/>
  <c r="I9" i="17"/>
  <c r="I8" i="17"/>
  <c r="I7" i="17"/>
  <c r="I6" i="17"/>
  <c r="I5" i="17"/>
  <c r="I4" i="17"/>
  <c r="I3" i="17"/>
  <c r="O3" i="17"/>
  <c r="G4" i="17"/>
  <c r="G5" i="17"/>
  <c r="G6" i="17"/>
  <c r="G7" i="17"/>
  <c r="G8" i="17"/>
  <c r="G9" i="17"/>
  <c r="G10" i="17"/>
  <c r="G11" i="17"/>
  <c r="G12" i="17"/>
  <c r="M3" i="17"/>
  <c r="H3" i="17"/>
  <c r="H4" i="17"/>
  <c r="H5" i="17"/>
  <c r="H6" i="17"/>
  <c r="H7" i="17"/>
  <c r="H8" i="17"/>
  <c r="H9" i="17"/>
  <c r="H10" i="17"/>
  <c r="H11" i="17"/>
  <c r="H12" i="17"/>
  <c r="N3" i="17"/>
  <c r="N4" i="17"/>
  <c r="N5" i="17"/>
  <c r="N6" i="17"/>
  <c r="N7" i="17"/>
  <c r="N8" i="17"/>
  <c r="N9" i="17"/>
  <c r="N10" i="17"/>
  <c r="N11" i="17"/>
  <c r="N12" i="17"/>
  <c r="N13" i="17"/>
  <c r="N14" i="17"/>
  <c r="N15" i="17"/>
  <c r="N16" i="17"/>
  <c r="N17" i="17"/>
  <c r="N18" i="17"/>
  <c r="N19" i="17"/>
  <c r="N20" i="17"/>
  <c r="N21" i="17"/>
  <c r="N22" i="17"/>
  <c r="N23" i="17"/>
  <c r="N24" i="17"/>
  <c r="N25" i="17"/>
  <c r="N26" i="17"/>
  <c r="N27" i="17"/>
  <c r="N28" i="17"/>
  <c r="N29" i="17"/>
  <c r="N30" i="17"/>
  <c r="N31" i="17"/>
  <c r="N32" i="17"/>
  <c r="N33" i="17"/>
  <c r="N34" i="17"/>
  <c r="N35" i="17"/>
  <c r="N36" i="17"/>
  <c r="N37" i="17"/>
  <c r="N38" i="17"/>
  <c r="N39" i="17"/>
  <c r="N40" i="17"/>
  <c r="N41" i="17"/>
  <c r="N42" i="17"/>
  <c r="N43" i="17"/>
  <c r="N44" i="17"/>
  <c r="N45" i="17"/>
  <c r="N46" i="17"/>
  <c r="N47" i="17"/>
  <c r="N48" i="17"/>
  <c r="N49" i="17"/>
  <c r="N50" i="17"/>
  <c r="N51" i="17"/>
  <c r="N52" i="17"/>
  <c r="N53" i="17"/>
  <c r="N54" i="17"/>
  <c r="M4" i="17"/>
  <c r="M5" i="17"/>
  <c r="M6" i="17"/>
  <c r="M7" i="17"/>
  <c r="M8" i="17"/>
  <c r="M9" i="17"/>
  <c r="M10" i="17"/>
  <c r="M11" i="17"/>
  <c r="M12" i="17"/>
  <c r="M13" i="17"/>
  <c r="M14" i="17"/>
  <c r="M15" i="17"/>
  <c r="M16" i="17"/>
  <c r="M17" i="17"/>
  <c r="M18" i="17"/>
  <c r="M19" i="17"/>
  <c r="M20" i="17"/>
  <c r="M21" i="17"/>
  <c r="M22" i="17"/>
  <c r="M23" i="17"/>
  <c r="M24" i="17"/>
  <c r="M25" i="17"/>
  <c r="M26" i="17"/>
  <c r="M27" i="17"/>
  <c r="M28" i="17"/>
  <c r="M29" i="17"/>
  <c r="M30" i="17"/>
  <c r="M31" i="17"/>
  <c r="M32" i="17"/>
  <c r="M33" i="17"/>
  <c r="M34" i="17"/>
  <c r="M35" i="17"/>
  <c r="M36" i="17"/>
  <c r="M37" i="17"/>
  <c r="M38" i="17"/>
  <c r="M39" i="17"/>
  <c r="M40" i="17"/>
  <c r="M41" i="17"/>
  <c r="M42" i="17"/>
  <c r="M43" i="17"/>
  <c r="M44" i="17"/>
  <c r="M45" i="17"/>
  <c r="M46" i="17"/>
  <c r="M47" i="17"/>
  <c r="M48" i="17"/>
  <c r="M49" i="17"/>
  <c r="M50" i="17"/>
  <c r="M51" i="17"/>
  <c r="M52" i="17"/>
  <c r="M53" i="17"/>
  <c r="M54" i="17"/>
  <c r="O4" i="17"/>
  <c r="O5" i="17"/>
  <c r="O6" i="17"/>
  <c r="O7" i="17"/>
  <c r="O8" i="17"/>
  <c r="O9" i="17"/>
  <c r="O10" i="17"/>
  <c r="O11" i="17"/>
  <c r="O12" i="17"/>
  <c r="O13" i="17"/>
  <c r="O14" i="17"/>
  <c r="O15" i="17"/>
  <c r="O16" i="17"/>
  <c r="O17" i="17"/>
  <c r="O18" i="17"/>
  <c r="O19" i="17"/>
  <c r="O20" i="17"/>
  <c r="O21" i="17"/>
  <c r="O22" i="17"/>
  <c r="O23" i="17"/>
  <c r="O24" i="17"/>
  <c r="O25" i="17"/>
  <c r="O26" i="17"/>
  <c r="O27" i="17"/>
  <c r="O28" i="17"/>
  <c r="O29" i="17"/>
  <c r="O30" i="17"/>
  <c r="O31" i="17"/>
  <c r="O32" i="17"/>
  <c r="O33" i="17"/>
  <c r="O34" i="17"/>
  <c r="O35" i="17"/>
  <c r="O36" i="17"/>
  <c r="O37" i="17"/>
  <c r="O38" i="17"/>
  <c r="O39" i="17"/>
  <c r="O40" i="17"/>
  <c r="O41" i="17"/>
  <c r="O42" i="17"/>
  <c r="O43" i="17"/>
  <c r="O44" i="17"/>
  <c r="O45" i="17"/>
  <c r="O46" i="17"/>
  <c r="O47" i="17"/>
  <c r="O48" i="17"/>
  <c r="O49" i="17"/>
  <c r="O50" i="17"/>
  <c r="O51" i="17"/>
  <c r="O52" i="17"/>
  <c r="O53" i="17"/>
  <c r="O54" i="17"/>
  <c r="C11" i="17"/>
  <c r="C10" i="17"/>
  <c r="S3" i="17"/>
  <c r="T3" i="17"/>
  <c r="D4" i="20"/>
  <c r="P4" i="17"/>
  <c r="P35" i="17"/>
  <c r="P42" i="17"/>
  <c r="P49" i="17"/>
  <c r="P41" i="17"/>
  <c r="P33" i="17"/>
  <c r="P25" i="17"/>
  <c r="P17" i="17"/>
  <c r="P9" i="17"/>
  <c r="P19" i="17"/>
  <c r="P50" i="17"/>
  <c r="P48" i="17"/>
  <c r="P40" i="17"/>
  <c r="P32" i="17"/>
  <c r="P24" i="17"/>
  <c r="P16" i="17"/>
  <c r="P8" i="17"/>
  <c r="P43" i="17"/>
  <c r="P34" i="17"/>
  <c r="P47" i="17"/>
  <c r="P39" i="17"/>
  <c r="P31" i="17"/>
  <c r="P23" i="17"/>
  <c r="P15" i="17"/>
  <c r="P7" i="17"/>
  <c r="P3" i="17"/>
  <c r="P10" i="17"/>
  <c r="P54" i="17"/>
  <c r="P46" i="17"/>
  <c r="P38" i="17"/>
  <c r="P30" i="17"/>
  <c r="P22" i="17"/>
  <c r="P14" i="17"/>
  <c r="P6" i="17"/>
  <c r="P27" i="17"/>
  <c r="P18" i="17"/>
  <c r="P53" i="17"/>
  <c r="P45" i="17"/>
  <c r="P37" i="17"/>
  <c r="P29" i="17"/>
  <c r="P21" i="17"/>
  <c r="P13" i="17"/>
  <c r="P5" i="17"/>
  <c r="P51" i="17"/>
  <c r="P11" i="17"/>
  <c r="P26" i="17"/>
  <c r="P52" i="17"/>
  <c r="P44" i="17"/>
  <c r="P36" i="17"/>
  <c r="P28" i="17"/>
  <c r="P20" i="17"/>
  <c r="P12" i="17"/>
  <c r="U27" i="17"/>
  <c r="C8" i="17"/>
  <c r="C7" i="17"/>
  <c r="C6" i="17"/>
  <c r="U10" i="17"/>
  <c r="U9" i="17"/>
  <c r="U30" i="17"/>
  <c r="U29" i="17"/>
  <c r="U28" i="17"/>
  <c r="U26" i="17"/>
  <c r="U25" i="17"/>
  <c r="U24" i="17"/>
  <c r="U23" i="17"/>
  <c r="U22" i="17"/>
  <c r="U21" i="17"/>
  <c r="U20" i="17"/>
  <c r="U19" i="17"/>
  <c r="U18" i="17"/>
  <c r="U17" i="17"/>
  <c r="U16" i="17"/>
  <c r="U15" i="17"/>
  <c r="U14" i="17"/>
  <c r="U13" i="17"/>
  <c r="U12" i="17"/>
  <c r="U11" i="17"/>
  <c r="U8" i="17"/>
  <c r="U7" i="17"/>
  <c r="U6" i="17"/>
  <c r="U5" i="17"/>
  <c r="U4" i="17"/>
  <c r="S30" i="17"/>
  <c r="T30" i="17"/>
  <c r="S29" i="17"/>
  <c r="T29" i="17"/>
  <c r="S28" i="17"/>
  <c r="T28" i="17"/>
  <c r="S27" i="17"/>
  <c r="T27" i="17"/>
  <c r="S26" i="17"/>
  <c r="T26" i="17"/>
  <c r="S25" i="17"/>
  <c r="T25" i="17"/>
  <c r="S24" i="17"/>
  <c r="T24" i="17"/>
  <c r="S23" i="17"/>
  <c r="T23" i="17"/>
  <c r="S22" i="17"/>
  <c r="T22" i="17"/>
  <c r="S21" i="17"/>
  <c r="T21" i="17"/>
  <c r="S20" i="17"/>
  <c r="T20" i="17"/>
  <c r="S19" i="17"/>
  <c r="T19" i="17"/>
  <c r="S18" i="17"/>
  <c r="T18" i="17"/>
  <c r="S17" i="17"/>
  <c r="T17" i="17"/>
  <c r="S16" i="17"/>
  <c r="T16" i="17"/>
  <c r="S13" i="17"/>
  <c r="T13" i="17"/>
  <c r="S15" i="17"/>
  <c r="T15" i="17"/>
  <c r="S14" i="17"/>
  <c r="T14" i="17"/>
  <c r="S12" i="17"/>
  <c r="T12" i="17"/>
  <c r="S11" i="17"/>
  <c r="T11" i="17"/>
  <c r="S10" i="17"/>
  <c r="T10" i="17"/>
  <c r="S9" i="17"/>
  <c r="T9" i="17"/>
  <c r="S8" i="17"/>
  <c r="T8" i="17"/>
  <c r="S7" i="17"/>
  <c r="T7" i="17"/>
  <c r="S6" i="17"/>
  <c r="T6" i="17"/>
  <c r="S5" i="17"/>
  <c r="T5" i="17"/>
  <c r="S4" i="17"/>
  <c r="T4" i="17"/>
  <c r="D8" i="17"/>
  <c r="D7" i="17"/>
  <c r="D6" i="17"/>
  <c r="D5" i="17"/>
  <c r="D4" i="17"/>
  <c r="C12" i="17"/>
  <c r="J5" i="17"/>
  <c r="J9" i="17"/>
  <c r="J10" i="17"/>
  <c r="J7" i="17"/>
  <c r="J6" i="17"/>
  <c r="J4" i="17"/>
  <c r="J12" i="17"/>
  <c r="J8" i="17"/>
  <c r="J11" i="17"/>
  <c r="J3" i="17"/>
</calcChain>
</file>

<file path=xl/sharedStrings.xml><?xml version="1.0" encoding="utf-8"?>
<sst xmlns="http://schemas.openxmlformats.org/spreadsheetml/2006/main" count="609" uniqueCount="339">
  <si>
    <t>STATE</t>
  </si>
  <si>
    <t>PROVNAME</t>
  </si>
  <si>
    <t>CITY</t>
  </si>
  <si>
    <t>COUNTY_NAME</t>
  </si>
  <si>
    <t>MDScensus</t>
  </si>
  <si>
    <t>Hrs_Admin</t>
  </si>
  <si>
    <t>MPRD: Admin</t>
  </si>
  <si>
    <t>Hrs_MedDir</t>
  </si>
  <si>
    <t>MPRD: MedDir</t>
  </si>
  <si>
    <t>Hrs_Pharmacist</t>
  </si>
  <si>
    <t>Hrs_Dietician</t>
  </si>
  <si>
    <t>Hrs_PA</t>
  </si>
  <si>
    <t>Hrs_NP</t>
  </si>
  <si>
    <t>Hrs_SpcLangPath</t>
  </si>
  <si>
    <t>Hrs_QualSocWrk</t>
  </si>
  <si>
    <t>Hrs_OthSocWrk</t>
  </si>
  <si>
    <t>MPRD: Total Social Work</t>
  </si>
  <si>
    <t>Hrs_QualActvProf</t>
  </si>
  <si>
    <t>Hrs_OthActv</t>
  </si>
  <si>
    <t>MPRD: Combined Activities</t>
  </si>
  <si>
    <t>Hrs_OT</t>
  </si>
  <si>
    <t>Hrs_OTasst</t>
  </si>
  <si>
    <t>Hrs_OTaide</t>
  </si>
  <si>
    <t>MPRD: OT (incl. Assistant &amp; Aide)</t>
  </si>
  <si>
    <t>Hrs_PT</t>
  </si>
  <si>
    <t>Hrs_PTasst</t>
  </si>
  <si>
    <t>Hrs_PTaide</t>
  </si>
  <si>
    <t>MPRD: PT (incl. Assistant &amp; Aide)</t>
  </si>
  <si>
    <t>Hrs_MHSvc</t>
  </si>
  <si>
    <t>Hrs_TherRecSpec</t>
  </si>
  <si>
    <t>Hrs_ClinNrsSpec</t>
  </si>
  <si>
    <t>Hrs_FeedAsst</t>
  </si>
  <si>
    <t>Hrs_RespTher</t>
  </si>
  <si>
    <t>Hrs_RespTech</t>
  </si>
  <si>
    <t>Hrs_OthMD</t>
  </si>
  <si>
    <t>PROVNUM</t>
  </si>
  <si>
    <t>CMS Region Number</t>
  </si>
  <si>
    <t>AK</t>
  </si>
  <si>
    <t>AL</t>
  </si>
  <si>
    <t>MONTGOMERY</t>
  </si>
  <si>
    <t>Greene</t>
  </si>
  <si>
    <t>AR</t>
  </si>
  <si>
    <t>Columbia</t>
  </si>
  <si>
    <t>AZ</t>
  </si>
  <si>
    <t>CA</t>
  </si>
  <si>
    <t>Orange</t>
  </si>
  <si>
    <t>SPRING VALLEY</t>
  </si>
  <si>
    <t>LIVINGSTON</t>
  </si>
  <si>
    <t>HIGHLAND</t>
  </si>
  <si>
    <t>MONTROSE</t>
  </si>
  <si>
    <t>CO</t>
  </si>
  <si>
    <t>CT</t>
  </si>
  <si>
    <t>MIDDLETOWN</t>
  </si>
  <si>
    <t>DC</t>
  </si>
  <si>
    <t>DE</t>
  </si>
  <si>
    <t>FL</t>
  </si>
  <si>
    <t>Putnam</t>
  </si>
  <si>
    <t>GA</t>
  </si>
  <si>
    <t>HI</t>
  </si>
  <si>
    <t>IA</t>
  </si>
  <si>
    <t>MOUNT VERNON</t>
  </si>
  <si>
    <t>ID</t>
  </si>
  <si>
    <t>IL</t>
  </si>
  <si>
    <t>IN</t>
  </si>
  <si>
    <t>NEWBURGH</t>
  </si>
  <si>
    <t>Sullivan</t>
  </si>
  <si>
    <t>GOSHEN</t>
  </si>
  <si>
    <t>LIBERTY</t>
  </si>
  <si>
    <t>KS</t>
  </si>
  <si>
    <t>KY</t>
  </si>
  <si>
    <t>LA</t>
  </si>
  <si>
    <t>MA</t>
  </si>
  <si>
    <t>BREWSTER</t>
  </si>
  <si>
    <t>KINGSTON</t>
  </si>
  <si>
    <t>MD</t>
  </si>
  <si>
    <t>WHITE PLAINS</t>
  </si>
  <si>
    <t>ME</t>
  </si>
  <si>
    <t>MI</t>
  </si>
  <si>
    <t>MN</t>
  </si>
  <si>
    <t>MO</t>
  </si>
  <si>
    <t>MS</t>
  </si>
  <si>
    <t>MT</t>
  </si>
  <si>
    <t>NC</t>
  </si>
  <si>
    <t>ND</t>
  </si>
  <si>
    <t>NE</t>
  </si>
  <si>
    <t>NH</t>
  </si>
  <si>
    <t>RYE</t>
  </si>
  <si>
    <t>NJ</t>
  </si>
  <si>
    <t>NM</t>
  </si>
  <si>
    <t>NV</t>
  </si>
  <si>
    <t>NY</t>
  </si>
  <si>
    <t>ACHIEVE REHAB AND NURSING FACILITY</t>
  </si>
  <si>
    <t>ADIRA AT RIVERSIDE REHABILITATION AND NURSING</t>
  </si>
  <si>
    <t>YONKERS</t>
  </si>
  <si>
    <t>Westchester</t>
  </si>
  <si>
    <t>ANDRUS ON HUDSON</t>
  </si>
  <si>
    <t>HASTINGS ON HUDSON</t>
  </si>
  <si>
    <t>BAYBERRY NURSING HOME</t>
  </si>
  <si>
    <t>NEW ROCHELLE</t>
  </si>
  <si>
    <t>BETHEL NURSING HOME COMPANY INC</t>
  </si>
  <si>
    <t>OSSINING</t>
  </si>
  <si>
    <t>BRIARCLIFF MANOR CENTER FOR REHAB AND NURSING CARE</t>
  </si>
  <si>
    <t>BRIARCLIFF MANOR</t>
  </si>
  <si>
    <t>CAMPBELL HALL REHABILITATION CENTER INC</t>
  </si>
  <si>
    <t>CAMPBELL HALL</t>
  </si>
  <si>
    <t>CEDAR MANOR NURSING &amp; REHABILITATION CENTER</t>
  </si>
  <si>
    <t>CORTLANDT HEALTHCARE</t>
  </si>
  <si>
    <t>CORTLANDT MANOR</t>
  </si>
  <si>
    <t>DUMONT CENTER FOR REHABILITATION AND NURSING CARE</t>
  </si>
  <si>
    <t>ELIZABETH SETON CHILDREN'S CENTER</t>
  </si>
  <si>
    <t>33A246</t>
  </si>
  <si>
    <t>EPIC REHABILITATION AND NURSING AT WHITE PLAINS</t>
  </si>
  <si>
    <t>FERNCLIFF NURSING HOME CO INC</t>
  </si>
  <si>
    <t>RHINEBECK</t>
  </si>
  <si>
    <t>Dutchess</t>
  </si>
  <si>
    <t>FISHKILL CENTER FOR REHABILITATION AND NURSING</t>
  </si>
  <si>
    <t>BEACON</t>
  </si>
  <si>
    <t>FRIEDWALD CENTER FOR REHAB AND NURSING, L L C</t>
  </si>
  <si>
    <t>NEW CITY</t>
  </si>
  <si>
    <t>Rockland</t>
  </si>
  <si>
    <t>GHENT REHABILITATION &amp; NURSING CENTER</t>
  </si>
  <si>
    <t>GHENT</t>
  </si>
  <si>
    <t>GLEN ARDEN INC</t>
  </si>
  <si>
    <t>GLEN ISLAND CENTER FOR NURSING AND REHABILITATION</t>
  </si>
  <si>
    <t>GOLDEN HILL NURSING AND REHABILITATION CENTER</t>
  </si>
  <si>
    <t>Ulster</t>
  </si>
  <si>
    <t>GREENE MEADOWS NURSING AND REHABILITATION CENTER</t>
  </si>
  <si>
    <t>CATSKILL</t>
  </si>
  <si>
    <t>HELEN HAYES HOSPITAL R H C F</t>
  </si>
  <si>
    <t>WEST HAVERSTRAW</t>
  </si>
  <si>
    <t>HELEN HAYES HOSPITAL T C U</t>
  </si>
  <si>
    <t>HIGHLAND REHABILITATION AND NURSING CENTER</t>
  </si>
  <si>
    <t>HUDSON HILL CENTER FOR REHABILITATION &amp; NURSING</t>
  </si>
  <si>
    <t>HUDSON VALLEY REHABILITATION &amp; EXTENDED CARE CTR</t>
  </si>
  <si>
    <t>KENDAL ON HUDSON</t>
  </si>
  <si>
    <t>SLEEPY HOLLOW</t>
  </si>
  <si>
    <t>KING STREET HOME INC</t>
  </si>
  <si>
    <t>PORT CHESTER</t>
  </si>
  <si>
    <t>LIVINGSTON HILLS NURSING AND REHABILITATION CENTER</t>
  </si>
  <si>
    <t>LUTHERAN CENTER AT POUGHKEEPSIE INC</t>
  </si>
  <si>
    <t>POUGHKEEPSIE</t>
  </si>
  <si>
    <t>MARTINE CENTER FOR REHABILITATION AND NURSING</t>
  </si>
  <si>
    <t>MIDDLETOWN PARK REHAB &amp; HEALTH CARE CENTER</t>
  </si>
  <si>
    <t>MONTGOMERY NURSING AND REHABILITATION CENTER</t>
  </si>
  <si>
    <t>NEW PALTZ CENTER FOR REHABILITATION AND NURSING</t>
  </si>
  <si>
    <t>NEW PALTZ</t>
  </si>
  <si>
    <t>NEW YORK STATE VETERANS HOME AT MONTROSE</t>
  </si>
  <si>
    <t>NORTH WESTCHESTER RESTORATIVE THERAPY &amp; NRSG CRT</t>
  </si>
  <si>
    <t>MOHEGAN LAKE</t>
  </si>
  <si>
    <t>NORTHEAST CTR FOR REHABILITATION AND BRAIN INJURY</t>
  </si>
  <si>
    <t>LAKE KATRINE</t>
  </si>
  <si>
    <t>NORTHERN MANOR GERIATRIC CENTER INC</t>
  </si>
  <si>
    <t>NANUET</t>
  </si>
  <si>
    <t>NORTHERN METROPOLITAN RES HEALTH CARE FACILITY INC</t>
  </si>
  <si>
    <t>MONSEY</t>
  </si>
  <si>
    <t>NORTHERN RIVERVIEW HEALTH CARE, INC</t>
  </si>
  <si>
    <t>HAVERSTRAW</t>
  </si>
  <si>
    <t>NYACK RIDGE REHABILITATION AND NURSING CENTER</t>
  </si>
  <si>
    <t>VALLEY COTTAGE</t>
  </si>
  <si>
    <t>PINE HAVEN HOME</t>
  </si>
  <si>
    <t>PHILMONT</t>
  </si>
  <si>
    <t>PINE VALLEY CENTER FOR REHABILITATION AND NURSING</t>
  </si>
  <si>
    <t>PUTNAM NURSING &amp; REHABILITATION CENTER</t>
  </si>
  <si>
    <t>HOLMES</t>
  </si>
  <si>
    <t>PUTNAM RIDGE</t>
  </si>
  <si>
    <t>RENAISSANCE REHABILITATION AND NURSING CARE CENTER</t>
  </si>
  <si>
    <t>STAATSBURG</t>
  </si>
  <si>
    <t>ROSCOE REGIONAL REHAB &amp; RESIDENTIAL H C F</t>
  </si>
  <si>
    <t>ROSCOE</t>
  </si>
  <si>
    <t>SALEM HILLS REHABILITATION AND NURSING CENTER</t>
  </si>
  <si>
    <t>PURDYS</t>
  </si>
  <si>
    <t>SANS SOUCI REHABILITATION AND NURSING CENTER</t>
  </si>
  <si>
    <t>SAPPHIRE NURSING AND REHAB AT GOSHEN</t>
  </si>
  <si>
    <t>SAPPHIRE NURSING AT MEADOW HILL</t>
  </si>
  <si>
    <t>SAPPHIRE NURSING AT WAPPINGERS</t>
  </si>
  <si>
    <t>WAPPINGERS FALLS</t>
  </si>
  <si>
    <t>SCHAFFER EXTENDED CARE CENTER</t>
  </si>
  <si>
    <t>SCHERVIER PAVILION</t>
  </si>
  <si>
    <t>WARWICK</t>
  </si>
  <si>
    <t>SKY VIEW REHABILITATION &amp; HEALTH CARE CENTER L L C</t>
  </si>
  <si>
    <t>CROTON ON HUDSON</t>
  </si>
  <si>
    <t>SPRAIN BROOK MANOR REHAB</t>
  </si>
  <si>
    <t>SCARSDALE</t>
  </si>
  <si>
    <t>SPRINGVALE NURSING &amp; REHABILITATION CENTER</t>
  </si>
  <si>
    <t>ST CABRINI NURSING HOME</t>
  </si>
  <si>
    <t>DOBBS FERRY</t>
  </si>
  <si>
    <t>ST JOSEPHS PLACE</t>
  </si>
  <si>
    <t>PORT JERVIS</t>
  </si>
  <si>
    <t>SULLIVAN COUNTY ADULT CARE CENTER</t>
  </si>
  <si>
    <t>SUNSHINE CHILDREN'S HOME AND REHAB CENTER</t>
  </si>
  <si>
    <t>SUTTON PARK CENTER FOR NURSING AND REHABILITATION</t>
  </si>
  <si>
    <t>TACONIC REHABILITATION AND NURSING AT BEACON</t>
  </si>
  <si>
    <t>TACONIC REHABILITATION AND NURSING AT HOPEWELL</t>
  </si>
  <si>
    <t>FISHKILL</t>
  </si>
  <si>
    <t>TACONIC REHABILITATION AND NURSING AT ULSTER</t>
  </si>
  <si>
    <t>TARRYTOWN HALL CARE CENTER</t>
  </si>
  <si>
    <t>TARRYTOWN</t>
  </si>
  <si>
    <t>TEN BROECK COMMONS</t>
  </si>
  <si>
    <t>THE BAPTIST HOME AT BROOKMEADE</t>
  </si>
  <si>
    <t>THE ELEANOR NURSING CARE CENTER</t>
  </si>
  <si>
    <t>HYDE PARK</t>
  </si>
  <si>
    <t>THE EMERALD PEEK REHABILITATION AND NURSING CENTER</t>
  </si>
  <si>
    <t>PEEKSKILL</t>
  </si>
  <si>
    <t>THE ENCLAVE AT RYE  REHAB AND NURSING CTR</t>
  </si>
  <si>
    <t>THE GRAND REHABILITATION AND NRSG AT RIVER VALLEY</t>
  </si>
  <si>
    <t>THE GRAND REHABILITATION AND NURSING AT BARNWELL</t>
  </si>
  <si>
    <t>VALATIE</t>
  </si>
  <si>
    <t>THE GRAND REHABILITATION AND NURSING AT PAWLING</t>
  </si>
  <si>
    <t>PAWLING</t>
  </si>
  <si>
    <t>THE GROVE AT VALHALLA REHAB AND NURSING CENTER</t>
  </si>
  <si>
    <t>VALHALLA</t>
  </si>
  <si>
    <t>THE KNOLLS</t>
  </si>
  <si>
    <t>THE NEW JEWISH HOME, SARAH NEUMAN</t>
  </si>
  <si>
    <t>MAMARONECK</t>
  </si>
  <si>
    <t>THE OSBORN</t>
  </si>
  <si>
    <t>THE PARAMOUNT AT SOMERS REHAB AND NURSING CENTER</t>
  </si>
  <si>
    <t>SOMERS</t>
  </si>
  <si>
    <t>THE PINES AT CATSKILL CENTER FOR NURSING &amp; REHAB</t>
  </si>
  <si>
    <t>THE PINES AT POUGHKEEPSIE CTR FOR NURSING &amp; REHAB</t>
  </si>
  <si>
    <t>THE STEVEN AND ALEXANDRA COHEN PED L T C PAVILION</t>
  </si>
  <si>
    <t>THE VALLEY VIEW CENTER FOR NURSING CARE AND REHAB</t>
  </si>
  <si>
    <t>THE WARTBURG HOME</t>
  </si>
  <si>
    <t>THE WILLOWS AT RAMAPO REHAB AND NURSING CENTER</t>
  </si>
  <si>
    <t>SUFFERN</t>
  </si>
  <si>
    <t>UNITED HEBREW GERIATRIC CENTER</t>
  </si>
  <si>
    <t>WATERVIEW HILLS REHABILITATION AND NURSING CENTER</t>
  </si>
  <si>
    <t>PURDY STATION</t>
  </si>
  <si>
    <t>WESTCHESTER CENTER FOR REHABILITATION &amp; NURSING</t>
  </si>
  <si>
    <t>WHITE PLAINS CENTER FOR NURSING CARE, L L C</t>
  </si>
  <si>
    <t>WOODLAND POND AT NEW PALTZ</t>
  </si>
  <si>
    <t>YONKERS GARDENS CENTER FOR NURSING AND REHAB</t>
  </si>
  <si>
    <t>YORKTOWN REHABILITATION &amp; NURSING CENTER</t>
  </si>
  <si>
    <t>OH</t>
  </si>
  <si>
    <t>OK</t>
  </si>
  <si>
    <t>OR</t>
  </si>
  <si>
    <t>PA</t>
  </si>
  <si>
    <t>PR</t>
  </si>
  <si>
    <t>RI</t>
  </si>
  <si>
    <t>SC</t>
  </si>
  <si>
    <t>SD</t>
  </si>
  <si>
    <t>TN</t>
  </si>
  <si>
    <t>TX</t>
  </si>
  <si>
    <t>UT</t>
  </si>
  <si>
    <t>VA</t>
  </si>
  <si>
    <t>VT</t>
  </si>
  <si>
    <t>WA</t>
  </si>
  <si>
    <t>WI</t>
  </si>
  <si>
    <t>WV</t>
  </si>
  <si>
    <t>WY</t>
  </si>
  <si>
    <t>National - Q2 2024</t>
  </si>
  <si>
    <t>US Ratio</t>
  </si>
  <si>
    <t>Median</t>
  </si>
  <si>
    <t>Total Census</t>
  </si>
  <si>
    <t>Providers</t>
  </si>
  <si>
    <t>Total NonNurse MPRD</t>
  </si>
  <si>
    <t>Rank: Total NonNurse MPRD</t>
  </si>
  <si>
    <t>State</t>
  </si>
  <si>
    <t>Staffing Category</t>
  </si>
  <si>
    <t>US Total Hours</t>
  </si>
  <si>
    <t>MPRD</t>
  </si>
  <si>
    <t>NHs reporting 0</t>
  </si>
  <si>
    <t>*Total NonNurse MPRD</t>
  </si>
  <si>
    <t>*Admin</t>
  </si>
  <si>
    <t>Total Admin MPRD</t>
  </si>
  <si>
    <t>Medical Director</t>
  </si>
  <si>
    <t>Total Social Work</t>
  </si>
  <si>
    <t>Pharmacist</t>
  </si>
  <si>
    <t>Total OT MPRD</t>
  </si>
  <si>
    <t>Dietician</t>
  </si>
  <si>
    <t>Total PT MPRD</t>
  </si>
  <si>
    <t>Physician Assistant</t>
  </si>
  <si>
    <t>Total Activities MPRD</t>
  </si>
  <si>
    <t>Nurse Practictioner</t>
  </si>
  <si>
    <t>Descriptive Data</t>
  </si>
  <si>
    <t>Speech/Language Pathologist</t>
  </si>
  <si>
    <t>Total Nursing Homes</t>
  </si>
  <si>
    <t>Qualified Social Work Staff</t>
  </si>
  <si>
    <t>Residents Per Nursing Home</t>
  </si>
  <si>
    <t>Other Social Work Staff</t>
  </si>
  <si>
    <t>*Nursing Homes submitting invalid Admin Data</t>
  </si>
  <si>
    <t>Total Activities</t>
  </si>
  <si>
    <t>Qualified Activities Professional</t>
  </si>
  <si>
    <t>Other Activities Professional</t>
  </si>
  <si>
    <t>Combined Occupational Therapist (OT)</t>
  </si>
  <si>
    <t>OT</t>
  </si>
  <si>
    <t>OT Assistant</t>
  </si>
  <si>
    <t>OT Aide</t>
  </si>
  <si>
    <t>Combined Physical Therapist (PT)</t>
  </si>
  <si>
    <t>PT</t>
  </si>
  <si>
    <t>PT Assistant</t>
  </si>
  <si>
    <t>PT Aide</t>
  </si>
  <si>
    <t>Mental Health Service Worker</t>
  </si>
  <si>
    <t>Therapeutic Recreation Specialist</t>
  </si>
  <si>
    <t>Clinical Nurse Specialist</t>
  </si>
  <si>
    <t>Feeding Assistant</t>
  </si>
  <si>
    <t>Respiratory Therapist</t>
  </si>
  <si>
    <t>Respiratory Therapy Technician</t>
  </si>
  <si>
    <t>Other Physician</t>
  </si>
  <si>
    <t>Total Social Work MPRD</t>
  </si>
  <si>
    <t>Total Med Director MPRD</t>
  </si>
  <si>
    <t>Glossary</t>
  </si>
  <si>
    <t>CNA</t>
  </si>
  <si>
    <t>Certified Nursing Assistant</t>
  </si>
  <si>
    <t>HPRD</t>
  </si>
  <si>
    <t>Hours Per Resident Day</t>
  </si>
  <si>
    <t>Minutes Per Resident Day</t>
  </si>
  <si>
    <t>LPN</t>
  </si>
  <si>
    <t>Licensed Practical Nurse</t>
  </si>
  <si>
    <t>Med Aide/Tech</t>
  </si>
  <si>
    <t>Medication Aide</t>
  </si>
  <si>
    <t>NA TR</t>
  </si>
  <si>
    <t>Nurse Aide in Training</t>
  </si>
  <si>
    <t>NP</t>
  </si>
  <si>
    <t>Nurse Practitioner</t>
  </si>
  <si>
    <t>Nurse Aides</t>
  </si>
  <si>
    <t>Includes CNA, Nurse Aide in Training, Med Aide/Tech</t>
  </si>
  <si>
    <t>Occupational Therapist</t>
  </si>
  <si>
    <t>Physical Therapist</t>
  </si>
  <si>
    <t>Phsyician Assistant</t>
  </si>
  <si>
    <t>Calculations/Metrics</t>
  </si>
  <si>
    <r>
      <t xml:space="preserve">Staff hours </t>
    </r>
    <r>
      <rPr>
        <sz val="12"/>
        <color theme="1"/>
        <rFont val="Calibri"/>
        <family val="2"/>
      </rPr>
      <t>÷</t>
    </r>
    <r>
      <rPr>
        <sz val="8.4"/>
        <color theme="1"/>
        <rFont val="Calibri"/>
        <family val="2"/>
      </rPr>
      <t xml:space="preserve"> </t>
    </r>
    <r>
      <rPr>
        <sz val="12"/>
        <color theme="1"/>
        <rFont val="Calibri"/>
        <family val="2"/>
      </rPr>
      <t>Resident Census</t>
    </r>
  </si>
  <si>
    <t>Staff minutes ÷ Resident Census</t>
  </si>
  <si>
    <t>Total Nurse Staff</t>
  </si>
  <si>
    <t>RN (incl. Admin/DON) + LPN (incl. Admin) + CNA + Med Aide + NA TR</t>
  </si>
  <si>
    <t>Total Nurse Care Staff (excl. Admin/DON)</t>
  </si>
  <si>
    <t>RN + LPN + CNA + Med Aide + NA in Training</t>
  </si>
  <si>
    <t xml:space="preserve">Combined Activities </t>
  </si>
  <si>
    <t>Qualified Activities Professional + Other Activities Staff</t>
  </si>
  <si>
    <t>Total OT</t>
  </si>
  <si>
    <t>OT + OT Assistant + OT Aide</t>
  </si>
  <si>
    <t>Total PT</t>
  </si>
  <si>
    <t>PT + PT Assistant + PT Aide</t>
  </si>
  <si>
    <t>Qualified Social Worker + Other Social Worker</t>
  </si>
  <si>
    <t>Total RN</t>
  </si>
  <si>
    <t>Registered Nurse (incl. RN Admin, DON)</t>
  </si>
  <si>
    <t>Hrs_Admin_fn</t>
  </si>
  <si>
    <t>TOLSTOY FOUNDATION REHABILITATION AND NRSG CENTER</t>
  </si>
  <si>
    <t>National - Q4 2024</t>
  </si>
  <si>
    <t>US Average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</si>
</sst>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2" x14ac:knownFonts="1">
    <font>
      <sz val="11"/>
      <color theme="1"/>
      <name val="Calibri"/>
      <family val="2"/>
      <scheme val="minor"/>
    </font>
    <font>
      <sz val="11"/>
      <color theme="1"/>
      <name val="Calibri"/>
      <family val="2"/>
      <scheme val="minor"/>
    </font>
    <font>
      <sz val="12"/>
      <color theme="1"/>
      <name val="Calibri"/>
      <family val="2"/>
      <scheme val="minor"/>
    </font>
    <font>
      <b/>
      <sz val="18"/>
      <color theme="1"/>
      <name val="Calibri"/>
      <family val="2"/>
      <scheme val="minor"/>
    </font>
    <font>
      <sz val="12"/>
      <color rgb="FF000000"/>
      <name val="Calibri"/>
      <family val="2"/>
    </font>
    <font>
      <sz val="12"/>
      <color theme="1"/>
      <name val="Calibri"/>
      <family val="2"/>
    </font>
    <font>
      <sz val="8.4"/>
      <color theme="1"/>
      <name val="Calibri"/>
      <family val="2"/>
    </font>
    <font>
      <b/>
      <sz val="11"/>
      <color theme="1"/>
      <name val="Calibri"/>
      <family val="2"/>
      <scheme val="minor"/>
    </font>
    <font>
      <b/>
      <sz val="12"/>
      <color theme="1"/>
      <name val="Calibri"/>
      <family val="2"/>
      <scheme val="minor"/>
    </font>
    <font>
      <i/>
      <sz val="12"/>
      <color theme="1"/>
      <name val="Calibri"/>
      <family val="2"/>
      <scheme val="minor"/>
    </font>
    <font>
      <b/>
      <sz val="11"/>
      <color theme="1"/>
      <name val="Calibri"/>
      <family val="2"/>
    </font>
    <font>
      <sz val="11"/>
      <color rgb="FF000000"/>
      <name val="Calibri"/>
      <family val="2"/>
    </font>
    <font>
      <sz val="11"/>
      <color theme="1"/>
      <name val="Calibri"/>
      <family val="2"/>
    </font>
    <font>
      <b/>
      <sz val="11"/>
      <color rgb="FF000000"/>
      <name val="Calibri"/>
      <family val="2"/>
    </font>
    <font>
      <sz val="8"/>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theme="1"/>
      <name val="Calibri"/>
      <family val="2"/>
      <scheme val="minor"/>
    </font>
    <font>
      <i/>
      <sz val="11"/>
      <color theme="1"/>
      <name val="Calibri"/>
      <family val="2"/>
      <scheme val="minor"/>
    </font>
  </fonts>
  <fills count="35">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9" fontId="1" fillId="0" borderId="0" applyFont="0" applyFill="0" applyBorder="0" applyAlignment="0" applyProtection="0"/>
    <xf numFmtId="0" fontId="1" fillId="0" borderId="0"/>
    <xf numFmtId="0" fontId="15" fillId="0" borderId="0" applyNumberFormat="0" applyFill="0" applyBorder="0" applyAlignment="0" applyProtection="0"/>
    <xf numFmtId="0" fontId="16" fillId="0" borderId="18" applyNumberFormat="0" applyFill="0" applyAlignment="0" applyProtection="0"/>
    <xf numFmtId="0" fontId="17" fillId="0" borderId="19" applyNumberFormat="0" applyFill="0" applyAlignment="0" applyProtection="0"/>
    <xf numFmtId="0" fontId="18" fillId="0" borderId="20" applyNumberFormat="0" applyFill="0" applyAlignment="0" applyProtection="0"/>
    <xf numFmtId="0" fontId="18" fillId="0" borderId="0" applyNumberFormat="0" applyFill="0" applyBorder="0" applyAlignment="0" applyProtection="0"/>
    <xf numFmtId="0" fontId="19" fillId="4" borderId="0" applyNumberFormat="0" applyBorder="0" applyAlignment="0" applyProtection="0"/>
    <xf numFmtId="0" fontId="20" fillId="5" borderId="0" applyNumberFormat="0" applyBorder="0" applyAlignment="0" applyProtection="0"/>
    <xf numFmtId="0" fontId="21" fillId="6" borderId="0" applyNumberFormat="0" applyBorder="0" applyAlignment="0" applyProtection="0"/>
    <xf numFmtId="0" fontId="22" fillId="7" borderId="21" applyNumberFormat="0" applyAlignment="0" applyProtection="0"/>
    <xf numFmtId="0" fontId="23" fillId="8" borderId="22" applyNumberFormat="0" applyAlignment="0" applyProtection="0"/>
    <xf numFmtId="0" fontId="24" fillId="8" borderId="21" applyNumberFormat="0" applyAlignment="0" applyProtection="0"/>
    <xf numFmtId="0" fontId="25" fillId="0" borderId="23" applyNumberFormat="0" applyFill="0" applyAlignment="0" applyProtection="0"/>
    <xf numFmtId="0" fontId="26" fillId="9" borderId="24" applyNumberFormat="0" applyAlignment="0" applyProtection="0"/>
    <xf numFmtId="0" fontId="27" fillId="0" borderId="0" applyNumberFormat="0" applyFill="0" applyBorder="0" applyAlignment="0" applyProtection="0"/>
    <xf numFmtId="0" fontId="1" fillId="10" borderId="25" applyNumberFormat="0" applyFont="0" applyAlignment="0" applyProtection="0"/>
    <xf numFmtId="0" fontId="28" fillId="0" borderId="0" applyNumberFormat="0" applyFill="0" applyBorder="0" applyAlignment="0" applyProtection="0"/>
    <xf numFmtId="0" fontId="7" fillId="0" borderId="26" applyNumberFormat="0" applyFill="0" applyAlignment="0" applyProtection="0"/>
    <xf numFmtId="0" fontId="29"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9"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9"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9"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9"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9"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5" fillId="0" borderId="0"/>
  </cellStyleXfs>
  <cellXfs count="62">
    <xf numFmtId="0" fontId="0" fillId="0" borderId="0" xfId="0"/>
    <xf numFmtId="0" fontId="0" fillId="0" borderId="0" xfId="0" applyAlignment="1">
      <alignment wrapText="1"/>
    </xf>
    <xf numFmtId="2" fontId="0" fillId="0" borderId="0" xfId="0" applyNumberFormat="1"/>
    <xf numFmtId="0" fontId="2" fillId="0" borderId="0" xfId="0" applyFont="1"/>
    <xf numFmtId="0" fontId="3" fillId="2" borderId="1" xfId="0" applyFont="1" applyFill="1" applyBorder="1"/>
    <xf numFmtId="0" fontId="2" fillId="2" borderId="2" xfId="0" applyFont="1" applyFill="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2" fillId="0" borderId="7" xfId="0" applyFont="1" applyBorder="1"/>
    <xf numFmtId="0" fontId="4" fillId="0" borderId="0" xfId="2" applyFont="1" applyAlignment="1">
      <alignment horizontal="left" vertical="top" wrapText="1"/>
    </xf>
    <xf numFmtId="0" fontId="2" fillId="0" borderId="8" xfId="0" applyFont="1" applyBorder="1"/>
    <xf numFmtId="0" fontId="2" fillId="0" borderId="9" xfId="0" applyFont="1" applyBorder="1"/>
    <xf numFmtId="2" fontId="8" fillId="3" borderId="0" xfId="0" applyNumberFormat="1" applyFont="1" applyFill="1" applyAlignment="1">
      <alignment horizontal="left" wrapText="1"/>
    </xf>
    <xf numFmtId="0" fontId="0" fillId="0" borderId="0" xfId="0" applyAlignment="1">
      <alignment horizontal="left" wrapText="1"/>
    </xf>
    <xf numFmtId="0" fontId="2" fillId="0" borderId="0" xfId="0" applyFont="1" applyAlignment="1">
      <alignment horizontal="left" wrapText="1"/>
    </xf>
    <xf numFmtId="0" fontId="9" fillId="0" borderId="0" xfId="0" applyFont="1" applyAlignment="1">
      <alignment horizontal="left" wrapText="1"/>
    </xf>
    <xf numFmtId="0" fontId="2" fillId="0" borderId="0" xfId="0" applyFont="1" applyAlignment="1">
      <alignment wrapText="1"/>
    </xf>
    <xf numFmtId="0" fontId="10" fillId="0" borderId="6" xfId="2" applyFont="1" applyBorder="1" applyAlignment="1">
      <alignment vertical="top" wrapText="1"/>
    </xf>
    <xf numFmtId="2" fontId="11" fillId="0" borderId="7" xfId="2" applyNumberFormat="1" applyFont="1" applyBorder="1" applyAlignment="1">
      <alignment vertical="top"/>
    </xf>
    <xf numFmtId="2" fontId="11" fillId="0" borderId="0" xfId="2" applyNumberFormat="1" applyFont="1" applyAlignment="1">
      <alignment vertical="top"/>
    </xf>
    <xf numFmtId="3" fontId="2" fillId="0" borderId="0" xfId="0" applyNumberFormat="1" applyFont="1"/>
    <xf numFmtId="4" fontId="2" fillId="0" borderId="0" xfId="0" applyNumberFormat="1" applyFont="1"/>
    <xf numFmtId="1" fontId="2" fillId="0" borderId="0" xfId="0" applyNumberFormat="1" applyFont="1"/>
    <xf numFmtId="0" fontId="10" fillId="0" borderId="10" xfId="2" applyFont="1" applyBorder="1" applyAlignment="1">
      <alignment vertical="top" wrapText="1"/>
    </xf>
    <xf numFmtId="0" fontId="10" fillId="0" borderId="11" xfId="2" applyFont="1" applyBorder="1" applyAlignment="1">
      <alignment vertical="top" wrapText="1"/>
    </xf>
    <xf numFmtId="2" fontId="12" fillId="0" borderId="0" xfId="2" applyNumberFormat="1" applyFont="1" applyAlignment="1">
      <alignment vertical="top"/>
    </xf>
    <xf numFmtId="0" fontId="2" fillId="0" borderId="0" xfId="0" applyFont="1" applyAlignment="1">
      <alignment vertical="top" wrapText="1"/>
    </xf>
    <xf numFmtId="2" fontId="11" fillId="0" borderId="8" xfId="2" applyNumberFormat="1" applyFont="1" applyBorder="1" applyAlignment="1">
      <alignment vertical="top"/>
    </xf>
    <xf numFmtId="0" fontId="8" fillId="0" borderId="2" xfId="0" applyFont="1" applyBorder="1"/>
    <xf numFmtId="3" fontId="2" fillId="0" borderId="12" xfId="0" applyNumberFormat="1" applyFont="1" applyBorder="1"/>
    <xf numFmtId="3" fontId="2" fillId="0" borderId="0" xfId="1" applyNumberFormat="1" applyFont="1"/>
    <xf numFmtId="3" fontId="11" fillId="0" borderId="0" xfId="2" applyNumberFormat="1" applyFont="1" applyAlignment="1">
      <alignment vertical="top"/>
    </xf>
    <xf numFmtId="0" fontId="8" fillId="0" borderId="13" xfId="0" applyFont="1" applyBorder="1"/>
    <xf numFmtId="2" fontId="11" fillId="0" borderId="14" xfId="1" applyNumberFormat="1" applyFont="1" applyFill="1" applyBorder="1" applyAlignment="1">
      <alignment vertical="top"/>
    </xf>
    <xf numFmtId="3" fontId="0" fillId="0" borderId="0" xfId="0" applyNumberFormat="1"/>
    <xf numFmtId="2" fontId="0" fillId="0" borderId="0" xfId="0" applyNumberFormat="1" applyAlignment="1">
      <alignment wrapText="1"/>
    </xf>
    <xf numFmtId="164" fontId="0" fillId="0" borderId="0" xfId="0" applyNumberFormat="1"/>
    <xf numFmtId="1" fontId="0" fillId="0" borderId="0" xfId="0" applyNumberFormat="1"/>
    <xf numFmtId="2" fontId="11" fillId="0" borderId="15" xfId="2" applyNumberFormat="1" applyFont="1" applyBorder="1" applyAlignment="1">
      <alignment vertical="top"/>
    </xf>
    <xf numFmtId="2" fontId="11" fillId="0" borderId="14" xfId="2" applyNumberFormat="1" applyFont="1" applyBorder="1" applyAlignment="1">
      <alignment vertical="top"/>
    </xf>
    <xf numFmtId="2" fontId="11" fillId="0" borderId="16" xfId="1" applyNumberFormat="1" applyFont="1" applyFill="1" applyBorder="1" applyAlignment="1">
      <alignment vertical="top"/>
    </xf>
    <xf numFmtId="3" fontId="2" fillId="0" borderId="0" xfId="0" applyNumberFormat="1" applyFont="1" applyAlignment="1">
      <alignment vertical="top" wrapText="1"/>
    </xf>
    <xf numFmtId="164" fontId="0" fillId="0" borderId="0" xfId="0" applyNumberFormat="1" applyAlignment="1">
      <alignment wrapText="1"/>
    </xf>
    <xf numFmtId="2" fontId="11" fillId="0" borderId="17" xfId="2" applyNumberFormat="1" applyFont="1" applyBorder="1" applyAlignment="1">
      <alignment vertical="top"/>
    </xf>
    <xf numFmtId="2" fontId="11" fillId="0" borderId="15" xfId="1" applyNumberFormat="1" applyFont="1" applyFill="1" applyBorder="1" applyAlignment="1">
      <alignment vertical="top"/>
    </xf>
    <xf numFmtId="2" fontId="11" fillId="0" borderId="11" xfId="2" applyNumberFormat="1" applyFont="1" applyBorder="1" applyAlignment="1">
      <alignment vertical="top"/>
    </xf>
    <xf numFmtId="2" fontId="11" fillId="0" borderId="11" xfId="1" applyNumberFormat="1" applyFont="1" applyFill="1" applyBorder="1" applyAlignment="1">
      <alignment vertical="top"/>
    </xf>
    <xf numFmtId="0" fontId="7" fillId="0" borderId="0" xfId="0" applyFont="1"/>
    <xf numFmtId="0" fontId="13" fillId="0" borderId="0" xfId="2" applyFont="1" applyAlignment="1">
      <alignment vertical="top" wrapText="1"/>
    </xf>
    <xf numFmtId="0" fontId="9" fillId="0" borderId="0" xfId="0" applyFont="1"/>
    <xf numFmtId="1" fontId="11" fillId="0" borderId="0" xfId="2" applyNumberFormat="1" applyFont="1" applyAlignment="1">
      <alignment vertical="top"/>
    </xf>
    <xf numFmtId="0" fontId="30" fillId="0" borderId="0" xfId="0" applyFont="1" applyAlignment="1">
      <alignment horizontal="center"/>
    </xf>
    <xf numFmtId="3" fontId="8" fillId="2" borderId="0" xfId="0" applyNumberFormat="1" applyFont="1" applyFill="1" applyAlignment="1">
      <alignment horizontal="center"/>
    </xf>
    <xf numFmtId="3" fontId="8" fillId="2" borderId="0" xfId="0" applyNumberFormat="1" applyFont="1" applyFill="1"/>
    <xf numFmtId="4" fontId="8" fillId="2" borderId="0" xfId="0" applyNumberFormat="1" applyFont="1" applyFill="1"/>
    <xf numFmtId="3" fontId="8" fillId="2" borderId="0" xfId="0" applyNumberFormat="1" applyFont="1" applyFill="1" applyAlignment="1">
      <alignment vertical="top" wrapText="1"/>
    </xf>
    <xf numFmtId="3" fontId="8" fillId="2" borderId="0" xfId="1" applyNumberFormat="1" applyFont="1" applyFill="1"/>
    <xf numFmtId="0" fontId="7" fillId="0" borderId="2" xfId="0" applyFont="1" applyBorder="1"/>
    <xf numFmtId="0" fontId="31" fillId="0" borderId="0" xfId="0" applyFont="1"/>
    <xf numFmtId="0" fontId="13" fillId="0" borderId="0" xfId="2" applyFont="1" applyAlignment="1">
      <alignment vertical="top"/>
    </xf>
  </cellXfs>
  <cellStyles count="45">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xr:uid="{D73064B6-9845-438D-B527-86797352EE2F}"/>
    <cellStyle name="Normal 2 2" xfId="2" xr:uid="{4B36764B-14F8-4213-BB9F-B4D1C538BAF0}"/>
    <cellStyle name="Note" xfId="17" builtinId="10" customBuiltin="1"/>
    <cellStyle name="Output" xfId="12" builtinId="21" customBuiltin="1"/>
    <cellStyle name="Percent" xfId="1" builtinId="5"/>
    <cellStyle name="Title" xfId="3" builtinId="15" customBuiltin="1"/>
    <cellStyle name="Total" xfId="19" builtinId="25" customBuiltin="1"/>
    <cellStyle name="Warning Text" xfId="16" builtinId="11" customBuiltin="1"/>
  </cellStyles>
  <dxfs count="73">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dxf>
    <dxf>
      <fill>
        <patternFill patternType="none">
          <fgColor rgb="FF000000"/>
          <bgColor auto="1"/>
        </patternFill>
      </fill>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numFmt numFmtId="1"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4" formatCode="#,##0.0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numFmt numFmtId="3" formatCode="#,##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theme="1"/>
        <name val="Calibri"/>
        <family val="2"/>
        <scheme val="minor"/>
      </font>
      <alignment horizontal="left" vertical="bottom" textRotation="0" wrapText="1" indent="0" justifyLastLine="0" shrinkToFit="0" readingOrder="0"/>
    </dxf>
    <dxf>
      <fill>
        <patternFill patternType="none">
          <fgColor rgb="FF000000"/>
          <bgColor auto="1"/>
        </patternFill>
      </fill>
    </dxf>
    <dxf>
      <font>
        <b val="0"/>
        <i val="0"/>
        <strike val="0"/>
        <condense val="0"/>
        <extend val="0"/>
        <outline val="0"/>
        <shadow val="0"/>
        <u val="none"/>
        <vertAlign val="baseline"/>
        <sz val="11"/>
        <color rgb="FF000000"/>
        <name val="Calibri"/>
        <family val="2"/>
        <scheme val="none"/>
      </font>
      <numFmt numFmtId="2" formatCode="0.00"/>
      <fill>
        <patternFill patternType="none">
          <fgColor indexed="64"/>
          <bgColor auto="1"/>
        </patternFill>
      </fill>
      <alignment horizontal="general" vertical="top" textRotation="0" wrapText="0" indent="0" justifyLastLine="0" shrinkToFit="0" readingOrder="0"/>
      <border diagonalUp="0" diagonalDown="0">
        <left style="thin">
          <color indexed="64"/>
        </left>
        <right/>
        <top/>
        <bottom/>
      </border>
    </dxf>
    <dxf>
      <fill>
        <patternFill patternType="none">
          <fgColor indexed="64"/>
          <bgColor auto="1"/>
        </patternFill>
      </fill>
      <border diagonalUp="0" diagonalDown="0">
        <left/>
        <right style="thin">
          <color indexed="64"/>
        </right>
        <top/>
        <bottom/>
        <vertical/>
        <horizontal/>
      </border>
    </dxf>
    <dxf>
      <border outline="0">
        <left style="thin">
          <color rgb="FF000000"/>
        </left>
        <right style="thin">
          <color rgb="FF000000"/>
        </right>
        <top style="thin">
          <color rgb="FF000000"/>
        </top>
        <bottom style="thin">
          <color rgb="FF000000"/>
        </bottom>
      </border>
    </dxf>
    <dxf>
      <fill>
        <patternFill patternType="none">
          <fgColor rgb="FF000000"/>
          <bgColor auto="1"/>
        </patternFill>
      </fill>
    </dxf>
    <dxf>
      <font>
        <b/>
        <i val="0"/>
        <strike val="0"/>
        <condense val="0"/>
        <extend val="0"/>
        <outline val="0"/>
        <shadow val="0"/>
        <u val="none"/>
        <vertAlign val="baseline"/>
        <sz val="12"/>
        <color theme="1"/>
        <name val="Calibri"/>
        <family val="2"/>
        <scheme val="minor"/>
      </font>
      <numFmt numFmtId="2" formatCode="0.00"/>
      <fill>
        <patternFill patternType="solid">
          <fgColor indexed="64"/>
          <bgColor theme="4" tint="0.39997558519241921"/>
        </patternFill>
      </fill>
      <alignment horizontal="left" vertical="bottom" textRotation="0" wrapText="1" indent="0" justifyLastLine="0" shrinkToFit="0" readingOrder="0"/>
    </dxf>
    <dxf>
      <numFmt numFmtId="1" formatCode="0"/>
    </dxf>
    <dxf>
      <numFmt numFmtId="0" formatCode="General"/>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1" formatCode="0"/>
    </dxf>
    <dxf>
      <numFmt numFmtId="2" formatCode="0.00"/>
    </dxf>
    <dxf>
      <numFmt numFmtId="2" formatCode="0.00"/>
    </dxf>
    <dxf>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absolute">
    <xdr:from>
      <xdr:col>17</xdr:col>
      <xdr:colOff>1000220</xdr:colOff>
      <xdr:row>0</xdr:row>
      <xdr:rowOff>179788</xdr:rowOff>
    </xdr:from>
    <xdr:to>
      <xdr:col>29</xdr:col>
      <xdr:colOff>10230</xdr:colOff>
      <xdr:row>0</xdr:row>
      <xdr:rowOff>504431</xdr:rowOff>
    </xdr:to>
    <xdr:sp macro="" textlink="">
      <xdr:nvSpPr>
        <xdr:cNvPr id="2" name="TextBox 1">
          <a:extLst>
            <a:ext uri="{FF2B5EF4-FFF2-40B4-BE49-F238E27FC236}">
              <a16:creationId xmlns:a16="http://schemas.microsoft.com/office/drawing/2014/main" id="{3E34F3FF-9A76-427E-9F3D-6D25AFD5C244}"/>
            </a:ext>
          </a:extLst>
        </xdr:cNvPr>
        <xdr:cNvSpPr txBox="1">
          <a:spLocks noChangeAspect="1"/>
        </xdr:cNvSpPr>
      </xdr:nvSpPr>
      <xdr:spPr>
        <a:xfrm>
          <a:off x="19646289" y="182963"/>
          <a:ext cx="3404211" cy="324643"/>
        </a:xfrm>
        <a:prstGeom prst="rect">
          <a:avLst/>
        </a:prstGeom>
        <a:solidFill>
          <a:schemeClr val="bg2">
            <a:lumMod val="9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Select plus</a:t>
          </a:r>
          <a:r>
            <a:rPr lang="en-US" sz="1100" baseline="0"/>
            <a:t> signs (+) above to expand data categories</a:t>
          </a:r>
        </a:p>
        <a:p>
          <a:r>
            <a:rPr lang="en-US" sz="1100" baseline="0"/>
            <a:t>.</a:t>
          </a:r>
          <a:endParaRPr lang="en-US" sz="1100"/>
        </a:p>
      </xdr:txBody>
    </xdr:sp>
    <xdr:clientData/>
  </xdr:twoCellAnchor>
  <xdr:twoCellAnchor editAs="oneCell">
    <xdr:from>
      <xdr:col>38</xdr:col>
      <xdr:colOff>425752</xdr:colOff>
      <xdr:row>0</xdr:row>
      <xdr:rowOff>1039796</xdr:rowOff>
    </xdr:from>
    <xdr:to>
      <xdr:col>46</xdr:col>
      <xdr:colOff>201082</xdr:colOff>
      <xdr:row>76</xdr:row>
      <xdr:rowOff>102658</xdr:rowOff>
    </xdr:to>
    <xdr:sp macro="" textlink="">
      <xdr:nvSpPr>
        <xdr:cNvPr id="3" name="TextBox 2">
          <a:extLst>
            <a:ext uri="{FF2B5EF4-FFF2-40B4-BE49-F238E27FC236}">
              <a16:creationId xmlns:a16="http://schemas.microsoft.com/office/drawing/2014/main" id="{05B991EF-60B5-4420-B269-7E3AD83D839B}"/>
            </a:ext>
          </a:extLst>
        </xdr:cNvPr>
        <xdr:cNvSpPr txBox="1">
          <a:spLocks noChangeAspect="1"/>
        </xdr:cNvSpPr>
      </xdr:nvSpPr>
      <xdr:spPr>
        <a:xfrm>
          <a:off x="39891002" y="1039796"/>
          <a:ext cx="6947656" cy="7956037"/>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0" i="0">
              <a:solidFill>
                <a:schemeClr val="dk1"/>
              </a:solidFill>
              <a:effectLst/>
              <a:latin typeface="+mn-lt"/>
              <a:ea typeface="+mn-ea"/>
              <a:cs typeface="+mn-cs"/>
            </a:rPr>
            <a:t>*The total of nursing homes reporting 0 administrator hours does not include nursing homes that reported invalid admin data (N = 61).</a:t>
          </a: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 </a:t>
          </a:r>
          <a:r>
            <a:rPr lang="en-US" sz="1100" b="0" i="0">
              <a:solidFill>
                <a:schemeClr val="dk1"/>
              </a:solidFill>
              <a:effectLst/>
              <a:latin typeface="+mn-lt"/>
              <a:ea typeface="+mn-ea"/>
              <a:cs typeface="+mn-cs"/>
            </a:rPr>
            <a:t>is Minuts Per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twoCellAnchor editAs="absolute">
    <xdr:from>
      <xdr:col>2</xdr:col>
      <xdr:colOff>1030501</xdr:colOff>
      <xdr:row>0</xdr:row>
      <xdr:rowOff>208134</xdr:rowOff>
    </xdr:from>
    <xdr:to>
      <xdr:col>3</xdr:col>
      <xdr:colOff>1426531</xdr:colOff>
      <xdr:row>0</xdr:row>
      <xdr:rowOff>1322565</xdr:rowOff>
    </xdr:to>
    <xdr:sp macro="" textlink="">
      <xdr:nvSpPr>
        <xdr:cNvPr id="4" name="TextBox 3">
          <a:extLst>
            <a:ext uri="{FF2B5EF4-FFF2-40B4-BE49-F238E27FC236}">
              <a16:creationId xmlns:a16="http://schemas.microsoft.com/office/drawing/2014/main" id="{463E70E1-D4A4-4934-9CBA-C0C960A5F863}"/>
            </a:ext>
          </a:extLst>
        </xdr:cNvPr>
        <xdr:cNvSpPr txBox="1">
          <a:spLocks noChangeAspect="1"/>
        </xdr:cNvSpPr>
      </xdr:nvSpPr>
      <xdr:spPr>
        <a:xfrm>
          <a:off x="5870612" y="208134"/>
          <a:ext cx="1912975" cy="1111256"/>
        </a:xfrm>
        <a:prstGeom prst="rect">
          <a:avLst/>
        </a:prstGeom>
        <a:solidFill>
          <a:schemeClr val="tx1">
            <a:lumMod val="95000"/>
            <a:lumOff val="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600" b="1" baseline="0">
              <a:solidFill>
                <a:schemeClr val="bg1"/>
              </a:solidFill>
            </a:rPr>
            <a:t>Hours are total average daily hours unless indicated "HPRD".</a:t>
          </a:r>
          <a:endParaRPr lang="en-US" sz="1100"/>
        </a:p>
      </xdr:txBody>
    </xdr:sp>
    <xdr:clientData/>
  </xdr:twoCellAnchor>
  <xdr:twoCellAnchor>
    <xdr:from>
      <xdr:col>5</xdr:col>
      <xdr:colOff>0</xdr:colOff>
      <xdr:row>0</xdr:row>
      <xdr:rowOff>104030</xdr:rowOff>
    </xdr:from>
    <xdr:to>
      <xdr:col>10</xdr:col>
      <xdr:colOff>183445</xdr:colOff>
      <xdr:row>0</xdr:row>
      <xdr:rowOff>1665111</xdr:rowOff>
    </xdr:to>
    <xdr:sp macro="" textlink="">
      <xdr:nvSpPr>
        <xdr:cNvPr id="5" name="TextBox 4">
          <a:extLst>
            <a:ext uri="{FF2B5EF4-FFF2-40B4-BE49-F238E27FC236}">
              <a16:creationId xmlns:a16="http://schemas.microsoft.com/office/drawing/2014/main" id="{BBD61A2E-5F22-4BE7-9639-4382F09A8A18}"/>
            </a:ext>
          </a:extLst>
        </xdr:cNvPr>
        <xdr:cNvSpPr txBox="1">
          <a:spLocks noChangeAspect="1"/>
        </xdr:cNvSpPr>
      </xdr:nvSpPr>
      <xdr:spPr>
        <a:xfrm>
          <a:off x="8972550" y="104030"/>
          <a:ext cx="4374445" cy="1561081"/>
        </a:xfrm>
        <a:prstGeom prst="rect">
          <a:avLst/>
        </a:prstGeom>
        <a:solidFill>
          <a:schemeClr val="accent4">
            <a:lumMod val="20000"/>
            <a:lumOff val="80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baseline="0"/>
            <a:t>Staff </a:t>
          </a:r>
          <a:r>
            <a:rPr lang="en-US" sz="1100" b="1"/>
            <a:t>MPRD</a:t>
          </a:r>
          <a:r>
            <a:rPr lang="en-US" sz="1100" b="0" baseline="0"/>
            <a:t> (Minutes Per Resident Day) is calculated by dividing a nursing home's daily staff time by its MDS census. </a:t>
          </a:r>
          <a:r>
            <a:rPr lang="en-US" sz="1100" b="0" i="1" baseline="0"/>
            <a:t>Example: A nursing home averaging 4 total admin staff hours (240 minutes) and 50 residents per day would have a 4.8 Admin MPRD (240/50 = 5.8).</a:t>
          </a:r>
        </a:p>
        <a:p>
          <a:pPr marL="0" marR="0" lvl="0" indent="0" defTabSz="914400" eaLnBrk="1" fontAlgn="auto" latinLnBrk="0" hangingPunct="1">
            <a:lnSpc>
              <a:spcPct val="100000"/>
            </a:lnSpc>
            <a:spcBef>
              <a:spcPts val="0"/>
            </a:spcBef>
            <a:spcAft>
              <a:spcPts val="0"/>
            </a:spcAft>
            <a:buClrTx/>
            <a:buSzTx/>
            <a:buFontTx/>
            <a:buNone/>
            <a:tabLst/>
            <a:defRPr/>
          </a:pPr>
          <a:endParaRPr lang="en-US" sz="1100" b="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Total Hours </a:t>
          </a:r>
          <a:r>
            <a:rPr lang="en-US" sz="1100" b="0" baseline="0">
              <a:solidFill>
                <a:schemeClr val="dk1"/>
              </a:solidFill>
              <a:effectLst/>
              <a:latin typeface="+mn-lt"/>
              <a:ea typeface="+mn-ea"/>
              <a:cs typeface="+mn-cs"/>
            </a:rPr>
            <a:t>is the nursing home's average daily staff hours in a given category for the quarter. </a:t>
          </a:r>
          <a:r>
            <a:rPr lang="en-US" sz="1100" b="0" i="1" baseline="0">
              <a:solidFill>
                <a:schemeClr val="dk1"/>
              </a:solidFill>
              <a:effectLst/>
              <a:latin typeface="+mn-lt"/>
              <a:ea typeface="+mn-ea"/>
              <a:cs typeface="+mn-cs"/>
            </a:rPr>
            <a:t>Example: A nursing home with 4 Hrs_Admin provides 4 admin staff hours per day.</a:t>
          </a:r>
          <a:endParaRPr lang="en-US">
            <a:effectLs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26987</xdr:colOff>
      <xdr:row>14</xdr:row>
      <xdr:rowOff>181767</xdr:rowOff>
    </xdr:from>
    <xdr:to>
      <xdr:col>10</xdr:col>
      <xdr:colOff>55562</xdr:colOff>
      <xdr:row>55</xdr:row>
      <xdr:rowOff>134938</xdr:rowOff>
    </xdr:to>
    <xdr:sp macro="" textlink="">
      <xdr:nvSpPr>
        <xdr:cNvPr id="2" name="TextBox 1">
          <a:extLst>
            <a:ext uri="{FF2B5EF4-FFF2-40B4-BE49-F238E27FC236}">
              <a16:creationId xmlns:a16="http://schemas.microsoft.com/office/drawing/2014/main" id="{06C9F8EA-C799-40E7-9005-2CC96CC5CCCC}"/>
            </a:ext>
          </a:extLst>
        </xdr:cNvPr>
        <xdr:cNvSpPr txBox="1"/>
      </xdr:nvSpPr>
      <xdr:spPr>
        <a:xfrm>
          <a:off x="233362" y="3753642"/>
          <a:ext cx="8497888" cy="7763671"/>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a:t>
          </a:r>
          <a:r>
            <a:rPr lang="en-US" sz="1100" b="0" i="0" u="none" strike="noStrike">
              <a:solidFill>
                <a:schemeClr val="dk1"/>
              </a:solidFill>
              <a:effectLst/>
              <a:latin typeface="+mn-lt"/>
              <a:ea typeface="+mn-ea"/>
              <a:cs typeface="+mn-cs"/>
            </a:rPr>
            <a:t>Nursing homes</a:t>
          </a:r>
          <a:r>
            <a:rPr lang="en-US" sz="1100" b="0" i="0" u="none" strike="noStrike" baseline="0">
              <a:solidFill>
                <a:schemeClr val="dk1"/>
              </a:solidFill>
              <a:effectLst/>
              <a:latin typeface="+mn-lt"/>
              <a:ea typeface="+mn-ea"/>
              <a:cs typeface="+mn-cs"/>
            </a:rPr>
            <a:t> that did not submit valid administrator data (</a:t>
          </a:r>
          <a:r>
            <a:rPr lang="en-US" sz="1100" b="1" i="0" u="none" strike="noStrike" baseline="0">
              <a:solidFill>
                <a:schemeClr val="dk1"/>
              </a:solidFill>
              <a:effectLst/>
              <a:latin typeface="+mn-lt"/>
              <a:ea typeface="+mn-ea"/>
              <a:cs typeface="+mn-cs"/>
            </a:rPr>
            <a:t>n = 67*</a:t>
          </a:r>
          <a:r>
            <a:rPr lang="en-US" sz="1100" b="0" i="0" u="none" strike="noStrike" baseline="0">
              <a:solidFill>
                <a:schemeClr val="dk1"/>
              </a:solidFill>
              <a:effectLst/>
              <a:latin typeface="+mn-lt"/>
              <a:ea typeface="+mn-ea"/>
              <a:cs typeface="+mn-cs"/>
            </a:rPr>
            <a:t>) are excluded from t</a:t>
          </a:r>
          <a:r>
            <a:rPr lang="en-US" sz="1100" b="0" i="0" u="none" strike="noStrike">
              <a:solidFill>
                <a:schemeClr val="dk1"/>
              </a:solidFill>
              <a:effectLst/>
              <a:latin typeface="+mn-lt"/>
              <a:ea typeface="+mn-ea"/>
              <a:cs typeface="+mn-cs"/>
            </a:rPr>
            <a:t>otal </a:t>
          </a:r>
          <a:r>
            <a:rPr lang="en-US" sz="1100" b="0" i="0" u="none" strike="noStrike" baseline="0">
              <a:solidFill>
                <a:schemeClr val="dk1"/>
              </a:solidFill>
              <a:effectLst/>
              <a:latin typeface="+mn-lt"/>
              <a:ea typeface="+mn-ea"/>
              <a:cs typeface="+mn-cs"/>
            </a:rPr>
            <a:t>non-nurse staffing MPRD metrics (individual, state, CMS Region, and national) and from the US Admin MPRD metric. The total of nursing homes reporting 0 administrator hours does not include nursing homes that reported invalid admin data.</a:t>
          </a:r>
          <a:endParaRPr lang="en-US" sz="1100" b="0"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Q2 2024 staffing report, visit https://nursinghome411.org/staffing-q2-2024/.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30163</xdr:colOff>
      <xdr:row>14</xdr:row>
      <xdr:rowOff>178591</xdr:rowOff>
    </xdr:from>
    <xdr:to>
      <xdr:col>5</xdr:col>
      <xdr:colOff>59531</xdr:colOff>
      <xdr:row>66</xdr:row>
      <xdr:rowOff>130967</xdr:rowOff>
    </xdr:to>
    <xdr:sp macro="" textlink="">
      <xdr:nvSpPr>
        <xdr:cNvPr id="2" name="TextBox 1">
          <a:extLst>
            <a:ext uri="{FF2B5EF4-FFF2-40B4-BE49-F238E27FC236}">
              <a16:creationId xmlns:a16="http://schemas.microsoft.com/office/drawing/2014/main" id="{F1178729-14A4-4B27-98F2-2E65B4CC0910}"/>
            </a:ext>
          </a:extLst>
        </xdr:cNvPr>
        <xdr:cNvSpPr txBox="1"/>
      </xdr:nvSpPr>
      <xdr:spPr>
        <a:xfrm>
          <a:off x="244476" y="3750466"/>
          <a:ext cx="5113336" cy="9989345"/>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chemeClr val="dk1"/>
              </a:solidFill>
              <a:effectLst/>
              <a:latin typeface="+mn-lt"/>
              <a:ea typeface="+mn-ea"/>
              <a:cs typeface="+mn-cs"/>
            </a:rPr>
            <a:t>*The total of nursing homes reporting 0 administrator hours does not include nursing homes that reported invalid admin data (N = 61).</a:t>
          </a: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275317</xdr:colOff>
      <xdr:row>1</xdr:row>
      <xdr:rowOff>30389</xdr:rowOff>
    </xdr:from>
    <xdr:to>
      <xdr:col>0</xdr:col>
      <xdr:colOff>6594928</xdr:colOff>
      <xdr:row>44</xdr:row>
      <xdr:rowOff>9072</xdr:rowOff>
    </xdr:to>
    <xdr:sp macro="" textlink="">
      <xdr:nvSpPr>
        <xdr:cNvPr id="2" name="TextBox 1">
          <a:extLst>
            <a:ext uri="{FF2B5EF4-FFF2-40B4-BE49-F238E27FC236}">
              <a16:creationId xmlns:a16="http://schemas.microsoft.com/office/drawing/2014/main" id="{18ADF708-DF6C-49DD-BB5D-7297976C4C31}"/>
            </a:ext>
          </a:extLst>
        </xdr:cNvPr>
        <xdr:cNvSpPr txBox="1"/>
      </xdr:nvSpPr>
      <xdr:spPr>
        <a:xfrm>
          <a:off x="275317" y="229960"/>
          <a:ext cx="6319611" cy="8759826"/>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800" b="1" i="0" u="none" strike="noStrike">
              <a:solidFill>
                <a:schemeClr val="dk1"/>
              </a:solidFill>
              <a:effectLst/>
              <a:latin typeface="+mn-lt"/>
              <a:ea typeface="+mn-ea"/>
              <a:cs typeface="+mn-cs"/>
            </a:rPr>
            <a:t>Data</a:t>
          </a:r>
          <a:r>
            <a:rPr lang="en-US" sz="1800" b="1" i="0" u="none" strike="noStrike" baseline="0">
              <a:solidFill>
                <a:schemeClr val="dk1"/>
              </a:solidFill>
              <a:effectLst/>
              <a:latin typeface="+mn-lt"/>
              <a:ea typeface="+mn-ea"/>
              <a:cs typeface="+mn-cs"/>
            </a:rPr>
            <a:t> Notes</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0" i="0">
              <a:solidFill>
                <a:schemeClr val="dk1"/>
              </a:solidFill>
              <a:effectLst/>
              <a:latin typeface="+mn-lt"/>
              <a:ea typeface="+mn-ea"/>
              <a:cs typeface="+mn-cs"/>
            </a:rPr>
            <a:t>*The total of nursing homes reporting 0 administrator hours does not include nursing homes that reported invalid admin data (N = 61).</a:t>
          </a: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100" b="1" i="0" u="none" strike="noStrike">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b="1" i="0">
              <a:solidFill>
                <a:schemeClr val="dk1"/>
              </a:solidFill>
              <a:effectLst/>
              <a:latin typeface="+mn-lt"/>
              <a:ea typeface="+mn-ea"/>
              <a:cs typeface="+mn-cs"/>
            </a:rPr>
            <a:t>What is staff HPRD? </a:t>
          </a:r>
          <a:r>
            <a:rPr lang="en-US" sz="1100" b="0" i="0">
              <a:solidFill>
                <a:schemeClr val="dk1"/>
              </a:solidFill>
              <a:effectLst/>
              <a:latin typeface="+mn-lt"/>
              <a:ea typeface="+mn-ea"/>
              <a:cs typeface="+mn-cs"/>
            </a:rPr>
            <a:t>HPRD (Hours Per Resident Day) is a staffing metric calculated by dividing a nursing home's daily staff hours by its MDS census. For example, a nursing home averaging 300 total nurse staff hours and 100 residents per day would have a 3.0 Total Nurse Staff HPRD (300/100 = 3.0). </a:t>
          </a:r>
          <a:r>
            <a:rPr lang="en-US" sz="1100" b="1" i="0">
              <a:solidFill>
                <a:schemeClr val="dk1"/>
              </a:solidFill>
              <a:effectLst/>
              <a:latin typeface="+mn-lt"/>
              <a:ea typeface="+mn-ea"/>
              <a:cs typeface="+mn-cs"/>
            </a:rPr>
            <a:t>MPRD</a:t>
          </a:r>
          <a:r>
            <a:rPr lang="en-US" sz="1100" b="0" i="0">
              <a:solidFill>
                <a:schemeClr val="dk1"/>
              </a:solidFill>
              <a:effectLst/>
              <a:latin typeface="+mn-lt"/>
              <a:ea typeface="+mn-ea"/>
              <a:cs typeface="+mn-cs"/>
            </a:rPr>
            <a:t> is Minutes Per</a:t>
          </a:r>
          <a:r>
            <a:rPr lang="en-US" sz="1100" b="0" i="0" baseline="0">
              <a:solidFill>
                <a:schemeClr val="dk1"/>
              </a:solidFill>
              <a:effectLst/>
              <a:latin typeface="+mn-lt"/>
              <a:ea typeface="+mn-ea"/>
              <a:cs typeface="+mn-cs"/>
            </a:rPr>
            <a:t> Resident Day.</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Staff"?</a:t>
          </a:r>
          <a:r>
            <a:rPr kumimoji="0" lang="en-US" sz="1100" b="0" i="0" u="none" strike="noStrike" kern="0" cap="none" spc="0" normalizeH="0" baseline="0" noProof="0">
              <a:ln>
                <a:noFill/>
              </a:ln>
              <a:solidFill>
                <a:prstClr val="black"/>
              </a:solidFill>
              <a:effectLst/>
              <a:uLnTx/>
              <a:uFillTx/>
              <a:latin typeface="+mn-lt"/>
              <a:ea typeface="+mn-ea"/>
              <a:cs typeface="+mn-cs"/>
            </a:rPr>
            <a:t> Total Nurse Staff combines hours from RNs (incl. Admin and DON), LPNs (incl. Admin), CNAs, Med Aide/Tech, and NA in Training (NA TR). Total RN Staff includes RN Admin &amp; RN DON.</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What staff are included in "Total Nurse Care Staff (excl. Admin/DON)"?</a:t>
          </a:r>
          <a:r>
            <a:rPr kumimoji="0" lang="en-US" sz="1100" b="0" i="0" u="none" strike="noStrike" kern="0" cap="none" spc="0" normalizeH="0" baseline="0" noProof="0">
              <a:ln>
                <a:noFill/>
              </a:ln>
              <a:solidFill>
                <a:prstClr val="black"/>
              </a:solidFill>
              <a:effectLst/>
              <a:uLnTx/>
              <a:uFillTx/>
              <a:latin typeface="+mn-lt"/>
              <a:ea typeface="+mn-ea"/>
              <a:cs typeface="+mn-cs"/>
            </a:rPr>
            <a:t> Total Nurse Care Staff combines hours from RNs, LPNs, and nurse aides (CNAs, Med Aide/Tech, and NA in Training) that are directly involved in resident care while excluding Admin &amp; DON. Total RN Care Staff excludes RN Admin &amp; RN DON.</a:t>
          </a:r>
        </a:p>
        <a:p>
          <a:pPr marL="0" marR="0" lvl="0" indent="0" defTabSz="914400" eaLnBrk="1" fontAlgn="auto" latinLnBrk="0" hangingPunct="1">
            <a:lnSpc>
              <a:spcPct val="100000"/>
            </a:lnSpc>
            <a:spcBef>
              <a:spcPts val="0"/>
            </a:spcBef>
            <a:spcAft>
              <a:spcPts val="0"/>
            </a:spcAft>
            <a:buClrTx/>
            <a:buSzTx/>
            <a:buFontTx/>
            <a:buNone/>
            <a:tabLst/>
            <a:defRPr/>
          </a:pPr>
          <a:br>
            <a:rPr kumimoji="0" lang="en-US" sz="1100" b="0" i="0" u="none" strike="noStrike" kern="0" cap="none" spc="0" normalizeH="0" baseline="0" noProof="0">
              <a:ln>
                <a:noFill/>
              </a:ln>
              <a:solidFill>
                <a:prstClr val="black"/>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Note:</a:t>
          </a:r>
          <a:r>
            <a:rPr kumimoji="0" lang="en-US" sz="1100" b="1" i="1" u="none" strike="noStrike" kern="0" cap="none" spc="0" normalizeH="0" baseline="0" noProof="0">
              <a:ln>
                <a:noFill/>
              </a:ln>
              <a:solidFill>
                <a:srgbClr val="5B9BD5">
                  <a:lumMod val="75000"/>
                </a:srgbClr>
              </a:solidFill>
              <a:effectLst/>
              <a:uLnTx/>
              <a:uFillTx/>
              <a:latin typeface="+mn-lt"/>
              <a:ea typeface="+mn-ea"/>
              <a:cs typeface="+mn-cs"/>
            </a:rPr>
            <a:t> </a:t>
          </a: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Starting in Q1 2021, LTCCC’s reporting of federal staffing data was modified in two important ways. </a:t>
          </a:r>
          <a:b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br>
          <a:r>
            <a:rPr kumimoji="0" lang="en-US" sz="1100" b="1" i="0" u="none" strike="noStrike" kern="0" cap="none" spc="0" normalizeH="0" baseline="0" noProof="0">
              <a:ln>
                <a:noFill/>
              </a:ln>
              <a:solidFill>
                <a:srgbClr val="5B9BD5">
                  <a:lumMod val="75000"/>
                </a:srgbClr>
              </a:solidFill>
              <a:effectLst/>
              <a:uLnTx/>
              <a:uFillTx/>
              <a:latin typeface="+mn-lt"/>
              <a:ea typeface="+mn-ea"/>
              <a:cs typeface="+mn-cs"/>
            </a:rPr>
            <a:t>1) Highlighting “Total Nurse Staff HPRD,” a more expansive metric that includes all PBJ nurse staffing categories; and 2) Expanding “Total Direct Care Staff HPRD” to include Med Aide/Tech and NA TR. Med Aide/Tech and NA TR were not included in previous LTCCC staffing reports.</a:t>
          </a:r>
          <a:br>
            <a:rPr lang="en-US" sz="1100" b="0" i="0" u="none" strike="noStrike">
              <a:solidFill>
                <a:schemeClr val="dk1"/>
              </a:solidFill>
              <a:effectLst/>
              <a:latin typeface="+mn-lt"/>
              <a:ea typeface="+mn-ea"/>
              <a:cs typeface="+mn-cs"/>
            </a:rPr>
          </a:br>
          <a:endParaRPr lang="en-US" sz="1100" b="0" i="0" u="none" strike="noStrike">
            <a:solidFill>
              <a:schemeClr val="dk1"/>
            </a:solidFill>
            <a:effectLst/>
            <a:latin typeface="+mn-lt"/>
            <a:ea typeface="+mn-ea"/>
            <a:cs typeface="+mn-cs"/>
          </a:endParaRPr>
        </a:p>
        <a:p>
          <a:r>
            <a:rPr lang="en-US" sz="1100" b="1" i="0" u="none" strike="noStrike">
              <a:solidFill>
                <a:schemeClr val="dk1"/>
              </a:solidFill>
              <a:effectLst/>
              <a:latin typeface="+mn-lt"/>
              <a:ea typeface="+mn-ea"/>
              <a:cs typeface="+mn-cs"/>
            </a:rPr>
            <a:t>Calculating state and national averages:</a:t>
          </a:r>
          <a:r>
            <a:rPr lang="en-US" sz="1100" b="0" i="0" u="none" strike="noStrike">
              <a:solidFill>
                <a:schemeClr val="dk1"/>
              </a:solidFill>
              <a:effectLst/>
              <a:latin typeface="+mn-lt"/>
              <a:ea typeface="+mn-ea"/>
              <a:cs typeface="+mn-cs"/>
            </a:rPr>
            <a:t> State and national staffing (Total and RN) HPRD were determined by dividing a given sample's aggregate of facility staffing hours by its aggregate of facility MDS census, thus accounting for variations in facility size. LTCCC staffing reports prior to Q3 2019 used different methodology by averaging all facility HPRDs in a sample (without adjusting for facility size) to determine state and national staffing averages. See "National/State average calculation" box on left for more info.</a:t>
          </a:r>
          <a:br>
            <a:rPr lang="en-US" sz="1100" b="1" i="0" u="none" strike="noStrike">
              <a:solidFill>
                <a:schemeClr val="dk1"/>
              </a:solidFill>
              <a:effectLst/>
              <a:latin typeface="+mn-lt"/>
              <a:ea typeface="+mn-ea"/>
              <a:cs typeface="+mn-cs"/>
            </a:rPr>
          </a:b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More on Payroll-Based Journal (PBJ) staffing data. (1) </a:t>
          </a:r>
          <a:r>
            <a:rPr lang="en-US" sz="1100" b="0" i="0" u="none" strike="noStrike">
              <a:solidFill>
                <a:schemeClr val="dk1"/>
              </a:solidFill>
              <a:effectLst/>
              <a:latin typeface="+mn-lt"/>
              <a:ea typeface="+mn-ea"/>
              <a:cs typeface="+mn-cs"/>
            </a:rPr>
            <a:t>Facility staff averages are determined based on PBJ reporting </a:t>
          </a:r>
          <a:r>
            <a:rPr lang="en-US" sz="1100" b="1" i="0" u="none" strike="noStrike">
              <a:solidFill>
                <a:schemeClr val="dk1"/>
              </a:solidFill>
              <a:effectLst/>
              <a:latin typeface="+mn-lt"/>
              <a:ea typeface="+mn-ea"/>
              <a:cs typeface="+mn-cs"/>
            </a:rPr>
            <a:t>(2)</a:t>
          </a:r>
          <a:r>
            <a:rPr lang="en-US" sz="1100" b="0" i="0" u="none" strike="noStrike">
              <a:solidFill>
                <a:schemeClr val="dk1"/>
              </a:solidFill>
              <a:effectLst/>
              <a:latin typeface="+mn-lt"/>
              <a:ea typeface="+mn-ea"/>
              <a:cs typeface="+mn-cs"/>
            </a:rPr>
            <a:t> Not all facilities are in compliance with the staff reporting requirement. This may affect averages at the facility, state, and national level. </a:t>
          </a:r>
          <a:r>
            <a:rPr lang="en-US" sz="1100" b="1" i="0" u="none" strike="noStrike">
              <a:solidFill>
                <a:schemeClr val="dk1"/>
              </a:solidFill>
              <a:effectLst/>
              <a:latin typeface="+mn-lt"/>
              <a:ea typeface="+mn-ea"/>
              <a:cs typeface="+mn-cs"/>
            </a:rPr>
            <a:t>(3) </a:t>
          </a:r>
          <a:r>
            <a:rPr lang="en-US" sz="1100" b="0" i="0" u="none" strike="noStrike">
              <a:solidFill>
                <a:schemeClr val="dk1"/>
              </a:solidFill>
              <a:effectLst/>
              <a:latin typeface="+mn-lt"/>
              <a:ea typeface="+mn-ea"/>
              <a:cs typeface="+mn-cs"/>
            </a:rPr>
            <a:t>The list includes Transitional Care Units and pediatric nursing homes, which generally have significantly higher staffing than a typical nursing home. This, too, will impact state and national averages.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 Regions: </a:t>
          </a:r>
          <a:r>
            <a:rPr lang="en-US" sz="1100" b="0" i="0" u="none" strike="noStrike">
              <a:solidFill>
                <a:schemeClr val="dk1"/>
              </a:solidFill>
              <a:effectLst/>
              <a:latin typeface="+mn-lt"/>
              <a:ea typeface="+mn-ea"/>
              <a:cs typeface="+mn-cs"/>
            </a:rPr>
            <a:t>CMS's 10 regional locations serve different states and territories in the United States. For more information on CMS's regional offices, visit https://www.cms.gov/Medicare/Coding/ICD10/CMS-Regional-Offices.</a:t>
          </a:r>
          <a:br>
            <a:rPr lang="en-US" sz="1100" b="0"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For LTCCC's full Q4 2024 staffing report, visit https://nursinghome411.org/staffing-q4-2024/.</a:t>
          </a:r>
          <a:br>
            <a:rPr lang="en-US" sz="1100" b="1" i="0" u="none" strike="noStrike">
              <a:solidFill>
                <a:schemeClr val="dk1"/>
              </a:solidFill>
              <a:effectLst/>
              <a:latin typeface="+mn-lt"/>
              <a:ea typeface="+mn-ea"/>
              <a:cs typeface="+mn-cs"/>
            </a:rPr>
          </a:br>
          <a:br>
            <a:rPr lang="en-US" sz="1100" b="0" i="0" u="none" strike="noStrike">
              <a:solidFill>
                <a:schemeClr val="dk1"/>
              </a:solidFill>
              <a:effectLst/>
              <a:latin typeface="+mn-lt"/>
              <a:ea typeface="+mn-ea"/>
              <a:cs typeface="+mn-cs"/>
            </a:rPr>
          </a:br>
          <a:r>
            <a:rPr lang="en-US" sz="1600" b="1" i="0" u="none" strike="noStrike">
              <a:solidFill>
                <a:schemeClr val="dk1"/>
              </a:solidFill>
              <a:effectLst/>
              <a:latin typeface="+mn-lt"/>
              <a:ea typeface="+mn-ea"/>
              <a:cs typeface="+mn-cs"/>
            </a:rPr>
            <a:t>Sources</a:t>
          </a:r>
          <a:br>
            <a:rPr lang="en-US" sz="1100" b="1"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Nurse Staffing Data:</a:t>
          </a:r>
          <a:r>
            <a:rPr lang="en-US" sz="1100" b="0" i="0" u="none" strike="noStrike">
              <a:solidFill>
                <a:schemeClr val="dk1"/>
              </a:solidFill>
              <a:effectLst/>
              <a:latin typeface="+mn-lt"/>
              <a:ea typeface="+mn-ea"/>
              <a:cs typeface="+mn-cs"/>
            </a:rPr>
            <a:t> https://data.cms.gov/quality-of-care/payroll-based-journal-daily-nurse-staffing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PBJ Daily Non-Nurse Staffing Data:</a:t>
          </a:r>
          <a:r>
            <a:rPr lang="en-US" sz="1100" b="0" i="0" u="none" strike="noStrike">
              <a:solidFill>
                <a:schemeClr val="dk1"/>
              </a:solidFill>
              <a:effectLst/>
              <a:latin typeface="+mn-lt"/>
              <a:ea typeface="+mn-ea"/>
              <a:cs typeface="+mn-cs"/>
            </a:rPr>
            <a:t> https://data.cms.gov/quality-of-care/payroll-based-journal-daily-non-nurse-staffing</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Information on payroll-based staff reporting requirements</a:t>
          </a:r>
          <a:r>
            <a:rPr lang="en-US" sz="1100" b="0" i="0" u="none" strike="noStrike">
              <a:solidFill>
                <a:schemeClr val="dk1"/>
              </a:solidFill>
              <a:effectLst/>
              <a:latin typeface="+mn-lt"/>
              <a:ea typeface="+mn-ea"/>
              <a:cs typeface="+mn-cs"/>
            </a:rPr>
            <a:t>: https://www.cms.gov/Medicare/Quality-Initiatives-Patient-Assessment-Instruments/NursingHomeQualityInits/Staffing-Data-Submission-PBJ</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(Nurse):</a:t>
          </a:r>
          <a:r>
            <a:rPr lang="en-US" sz="1100" b="0" i="0" u="none" strike="noStrike">
              <a:solidFill>
                <a:schemeClr val="dk1"/>
              </a:solidFill>
              <a:effectLst/>
              <a:latin typeface="+mn-lt"/>
              <a:ea typeface="+mn-ea"/>
              <a:cs typeface="+mn-cs"/>
            </a:rPr>
            <a:t> https://data.cms.gov/resources/payroll-based-journal-daily-nurse-staffing-data-dictionary</a:t>
          </a:r>
          <a:br>
            <a:rPr lang="en-US" sz="1100" b="0" i="0" u="none" strike="noStrike">
              <a:solidFill>
                <a:schemeClr val="dk1"/>
              </a:solidFill>
              <a:effectLst/>
              <a:latin typeface="+mn-lt"/>
              <a:ea typeface="+mn-ea"/>
              <a:cs typeface="+mn-cs"/>
            </a:rPr>
          </a:br>
          <a:r>
            <a:rPr lang="en-US" sz="1100" b="1" i="0" u="none" strike="noStrike">
              <a:solidFill>
                <a:schemeClr val="dk1"/>
              </a:solidFill>
              <a:effectLst/>
              <a:latin typeface="+mn-lt"/>
              <a:ea typeface="+mn-ea"/>
              <a:cs typeface="+mn-cs"/>
            </a:rPr>
            <a:t>CMS's PBJ Data Dictionary (Non-Nurse):</a:t>
          </a:r>
          <a:r>
            <a:rPr lang="en-US" sz="1100" b="0" i="0" u="none" strike="noStrike">
              <a:solidFill>
                <a:schemeClr val="dk1"/>
              </a:solidFill>
              <a:effectLst/>
              <a:latin typeface="+mn-lt"/>
              <a:ea typeface="+mn-ea"/>
              <a:cs typeface="+mn-cs"/>
            </a:rPr>
            <a:t> https://data.cms.gov/resources/payroll-based-journal-daily-non-nurse-staffing-data-dictionary</a:t>
          </a:r>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6824562-6C6C-42E4-9E06-8BDD2CE9682B}" name="NonNurse" displayName="NonNurse" ref="A1:AL93" totalsRowShown="0" headerRowDxfId="72">
  <autoFilter ref="A1:AL93" xr:uid="{0BC5ADF1-15D4-4F74-902E-CBC634AC45F1}">
    <filterColumn colId="8">
      <filters>
        <filter val="0.00"/>
      </filters>
    </filterColumn>
  </autoFilter>
  <tableColumns count="38">
    <tableColumn id="1" xr3:uid="{C2FFB7D0-AF54-4748-A841-AABD5DA03BDF}" name="STATE"/>
    <tableColumn id="3" xr3:uid="{57B4E843-E7E8-4365-8114-C466D43187DE}" name="PROVNAME"/>
    <tableColumn id="4" xr3:uid="{3CFDDB69-4DC5-4C32-B021-FE63A4B547FC}" name="CITY"/>
    <tableColumn id="5" xr3:uid="{D9EC541F-420E-4AC5-8B8D-EA471963B6F4}" name="COUNTY_NAME"/>
    <tableColumn id="6" xr3:uid="{E70827AC-3A54-45BA-875E-1AE0AF046331}" name="MDScensus" dataDxfId="71"/>
    <tableColumn id="7" xr3:uid="{DDDD4768-8463-4993-BE82-1F8A3209BE96}" name="Hrs_Admin" dataDxfId="70"/>
    <tableColumn id="38" xr3:uid="{A7213CFD-8CBE-4B7B-B869-3EEC764B2235}" name="Hrs_Admin_fn" dataDxfId="69"/>
    <tableColumn id="30" xr3:uid="{7E635764-55F9-419D-B69F-B218C6141027}" name="MPRD: Admin" dataDxfId="68"/>
    <tableColumn id="8" xr3:uid="{4042A9E3-F109-44C8-B98D-844FE5ED8B0D}" name="Hrs_MedDir" dataDxfId="67"/>
    <tableColumn id="40" xr3:uid="{8F7CBFF0-3D84-4AF0-A222-F99DE44A69FF}" name="MPRD: MedDir" dataDxfId="66"/>
    <tableColumn id="10" xr3:uid="{459E6AE9-71A8-4A52-99BF-8F5344B4E0CF}" name="Hrs_Pharmacist" dataDxfId="65"/>
    <tableColumn id="28" xr3:uid="{BE6BBF29-62DD-4B3E-B725-6F0E85F51EA7}" name="Hrs_Dietician" dataDxfId="64"/>
    <tableColumn id="29" xr3:uid="{676EED56-D66C-4F45-9580-7B4AF0385207}" name="Hrs_PA" dataDxfId="63"/>
    <tableColumn id="20" xr3:uid="{FA999FD9-5D67-4474-86CF-152A31EFB5A4}" name="Hrs_NP" dataDxfId="62"/>
    <tableColumn id="17" xr3:uid="{9519E07A-BEB3-4914-B0C9-3309404FE763}" name="Hrs_SpcLangPath" dataDxfId="61"/>
    <tableColumn id="15" xr3:uid="{FF3E4DD0-4446-463B-A9A2-3B9277BFD05C}" name="Hrs_QualSocWrk" dataDxfId="60"/>
    <tableColumn id="34" xr3:uid="{51608EDA-47F1-4CC5-907C-DBC81A770758}" name="Hrs_OthSocWrk" dataDxfId="59"/>
    <tableColumn id="18" xr3:uid="{510FB482-8B10-4802-9530-8603E09D1FDE}" name="MPRD: Total Social Work" dataDxfId="58"/>
    <tableColumn id="16" xr3:uid="{E89505A3-A1D3-4C26-A25E-4FB5384E7AD2}" name="Hrs_QualActvProf" dataDxfId="57"/>
    <tableColumn id="33" xr3:uid="{C3A0F8F4-2B17-4F1A-A116-47F0D64A4F8B}" name="Hrs_OthActv" dataDxfId="56"/>
    <tableColumn id="12" xr3:uid="{D6FD94AD-99B3-42E2-A4E6-97EB41FFD895}" name="MPRD: Combined Activities" dataDxfId="55"/>
    <tableColumn id="13" xr3:uid="{1D41AC98-A3E8-45B6-8D63-333D1D7E217D}" name="Hrs_OT" dataDxfId="54"/>
    <tableColumn id="22" xr3:uid="{F5061C9D-9DB0-4B20-AC80-B2091AE462AB}" name="Hrs_OTasst" dataDxfId="53"/>
    <tableColumn id="35" xr3:uid="{D26889A1-5C64-40E1-88CA-00C3C20B17F7}" name="Hrs_OTaide" dataDxfId="52"/>
    <tableColumn id="23" xr3:uid="{1E566B43-3DBC-4560-AB3C-F43F181D7FCF}" name="MPRD: OT (incl. Assistant &amp; Aide)" dataDxfId="51"/>
    <tableColumn id="24" xr3:uid="{C2493204-DA5B-40CB-9928-22D82588A341}" name="Hrs_PT" dataDxfId="50"/>
    <tableColumn id="25" xr3:uid="{F2DEFD82-BA41-409B-93BF-27DD288F1C30}" name="Hrs_PTasst" dataDxfId="49"/>
    <tableColumn id="36" xr3:uid="{C519EE7B-9521-46AF-ADE1-C9B64AF77A30}" name="Hrs_PTaide" dataDxfId="48"/>
    <tableColumn id="14" xr3:uid="{BFBCE688-E258-45BD-9147-E0C48D6F7E8A}" name="MPRD: PT (incl. Assistant &amp; Aide)" dataDxfId="47"/>
    <tableColumn id="21" xr3:uid="{6D26CABA-824C-40AD-9263-C9CEFCB1B493}" name="Hrs_MHSvc" dataDxfId="46"/>
    <tableColumn id="9" xr3:uid="{E0673AEE-917A-44D5-BCFF-A842FB9D96EF}" name="Hrs_TherRecSpec" dataDxfId="45"/>
    <tableColumn id="11" xr3:uid="{6CF4C790-9935-498D-A088-FC474D58B720}" name="Hrs_ClinNrsSpec" dataDxfId="44"/>
    <tableColumn id="26" xr3:uid="{931DADA3-0BA8-4835-BCFA-49269EBCA2C2}" name="Hrs_FeedAsst" dataDxfId="43"/>
    <tableColumn id="27" xr3:uid="{9766F3A7-A074-4691-8BA6-EC5909649EDA}" name="Hrs_RespTher" dataDxfId="42"/>
    <tableColumn id="31" xr3:uid="{E8CF71D4-2D6D-4B35-B521-8E2D5E465409}" name="Hrs_RespTech" dataDxfId="41"/>
    <tableColumn id="2" xr3:uid="{35A57006-F87B-429F-A609-61D94A5C9093}" name="Hrs_OthMD" dataDxfId="40"/>
    <tableColumn id="32" xr3:uid="{FFCF4D80-DCCD-4887-AC0B-F8F467951209}" name="PROVNUM" dataDxfId="39"/>
    <tableColumn id="39" xr3:uid="{91251C64-63AE-4446-AA59-02BC951EC117}" name="CMS Region Number" dataDxfId="38"/>
  </tableColumns>
  <tableStyleInfo name="TableStyleMedium2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44CFB95-CE9A-4159-9C08-CEFE8E132C5F}" name="Summary9" displayName="Summary9" ref="B2:D13" totalsRowShown="0" headerRowDxfId="37" dataDxfId="36" tableBorderDxfId="35">
  <autoFilter ref="B2:D13" xr:uid="{1ED771D8-DBF2-4B5C-9F7D-A59FBB047463}"/>
  <tableColumns count="3">
    <tableColumn id="1" xr3:uid="{5E4D30CB-9605-4FE8-9AAD-8EE6037A81B5}" name="National - Q2 2024" dataDxfId="34"/>
    <tableColumn id="2" xr3:uid="{3289DEDB-15B6-40D8-BA1C-D632CFA9C50C}" name="US Ratio" dataDxfId="33" dataCellStyle="Normal 2 2"/>
    <tableColumn id="3" xr3:uid="{2E7E2623-6711-45A7-82D2-59618013DFA4}" name="Median" dataDxfId="32"/>
  </tableColumns>
  <tableStyleInfo name="TableStyleMedium16"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25B9D51-3C88-4268-B576-377C4954AD28}" name="CMSRegion10" displayName="CMSRegion10" ref="F2:J12" totalsRowShown="0" headerRowDxfId="31" dataDxfId="30">
  <autoFilter ref="F2:J12" xr:uid="{8DA5A7B1-12B2-4B6A-ACD1-897DD9C7A713}"/>
  <tableColumns count="5">
    <tableColumn id="1" xr3:uid="{C276F51D-E431-429D-AC0C-9554273667ED}" name="CMS Region Number" dataDxfId="29"/>
    <tableColumn id="2" xr3:uid="{D76481CD-2C02-42BF-B3F3-B7A22FE334A8}" name="Total Census" dataDxfId="28">
      <calculatedColumnFormula>(SUMIFS(#REF!,#REF!, CMSRegion10[[#This Row],[CMS Region Number]],#REF!, "&lt;&gt;1"))</calculatedColumnFormula>
    </tableColumn>
    <tableColumn id="8" xr3:uid="{4C6788FE-DADE-466D-ACD9-9C3126E59C4C}" name="Providers" dataDxfId="27">
      <calculatedColumnFormula>COUNTIFS(#REF!, CMSRegion10[[#This Row],[CMS Region Number]],#REF!, "&lt;&gt;1")</calculatedColumnFormula>
    </tableColumn>
    <tableColumn id="7" xr3:uid="{A3D57EB3-DC4B-44DF-8A7D-2A89897F343F}" name="Total NonNurse MPRD" dataDxfId="26">
      <calculatedColumnFormula>SUMIFS(#REF!,#REF!, CMSRegion10[[#This Row],[CMS Region Number]]) / (SUMIFS(#REF!,#REF!, CMSRegion10[[#This Row],[CMS Region Number]],#REF!, "&lt;&gt;1"))*60</calculatedColumnFormula>
    </tableColumn>
    <tableColumn id="3" xr3:uid="{9C26B085-7EE1-4AF9-B244-7C782B00EED3}" name="Rank: Total NonNurse MPRD" dataDxfId="25">
      <calculatedColumnFormula>RANK(CMSRegion10[[#This Row],[Total NonNurse MPRD]], CMSRegion10[Total NonNurse MPRD])</calculatedColumnFormula>
    </tableColumn>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1828D7BA-FC78-41A0-B8A3-FD9E4D264B25}" name="State11" displayName="State11" ref="L2:P54" totalsRowShown="0" headerRowDxfId="24" dataDxfId="23">
  <autoFilter ref="L2:P54" xr:uid="{3A6DC66B-51AF-4021-A205-FEA1BCFE532F}"/>
  <tableColumns count="5">
    <tableColumn id="1" xr3:uid="{04518504-122D-4E7C-A464-B33F57ED83D7}" name="State" dataDxfId="22"/>
    <tableColumn id="2" xr3:uid="{4F9F4243-0C19-46F0-A2BD-FF9F27D57758}" name="Total Census" dataDxfId="21">
      <calculatedColumnFormula>(SUMIFS(#REF!,#REF!, State11[[#This Row],[State]],#REF!, "&lt;&gt;1"))</calculatedColumnFormula>
    </tableColumn>
    <tableColumn id="10" xr3:uid="{9C8BD3CE-4EF1-4C4B-A200-971CB631D0BC}" name="Providers" dataDxfId="20">
      <calculatedColumnFormula>COUNTIFS(#REF!, State11[[#This Row],[State]],#REF!, "&lt;&gt;1")</calculatedColumnFormula>
    </tableColumn>
    <tableColumn id="7" xr3:uid="{3BEA8EB9-2B3C-4047-BFC6-24589D35AA9E}" name="Total NonNurse MPRD" dataDxfId="19">
      <calculatedColumnFormula>SUMIFS(#REF!,#REF!, State11[[#This Row],[State]]) / (SUMIFS(#REF!,#REF!, State11[[#This Row],[State]],#REF!, "&lt;&gt;1"))*60</calculatedColumnFormula>
    </tableColumn>
    <tableColumn id="3" xr3:uid="{1C133621-EBED-48A2-B279-6D168732278A}" name="Rank: Total NonNurse MPRD" dataDxfId="18">
      <calculatedColumnFormula>RANK(State11[[#This Row],[Total NonNurse MPRD]], State11[Total NonNurse MPRD])</calculatedColumnFormula>
    </tableColumn>
  </tableColumns>
  <tableStyleInfo name="TableStyleMedium1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CD63671-762C-465D-9A18-21F72707B7D8}" name="Category12" displayName="Category12" ref="R2:U30" totalsRowShown="0" headerRowDxfId="17" dataDxfId="16">
  <autoFilter ref="R2:U30" xr:uid="{565E5F01-F55D-4423-8221-FE9537902289}"/>
  <tableColumns count="4">
    <tableColumn id="1" xr3:uid="{B9D48ADE-6C51-40E5-AC06-574C8D83C79B}" name="Staffing Category" dataDxfId="15"/>
    <tableColumn id="2" xr3:uid="{640B9CD3-D264-49F1-B891-F5C0D8331E8B}" name="US Total Hours" dataDxfId="14"/>
    <tableColumn id="4" xr3:uid="{FAECE19B-0A2D-471F-BCB1-D116F9B581B9}" name="MPRD" dataDxfId="13">
      <calculatedColumnFormula>Category12[[#This Row],[US Total Hours]]/SUM(#REF!)*60</calculatedColumnFormula>
    </tableColumn>
    <tableColumn id="3" xr3:uid="{86649029-3226-437C-BAAF-B164D54F68CC}" name="NHs reporting 0" dataDxfId="12">
      <calculatedColumnFormula>COUNTIF(#REF!, 0)</calculatedColumnFormula>
    </tableColumn>
  </tableColumns>
  <tableStyleInfo name="TableStyleMedium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D070110-9C35-4B61-B36C-2F8383C5F877}" name="Summary9164" displayName="Summary9164" ref="B2:D13" totalsRowShown="0" headerRowDxfId="11" dataDxfId="10" tableBorderDxfId="9">
  <autoFilter ref="B2:D13" xr:uid="{1ED771D8-DBF2-4B5C-9F7D-A59FBB047463}"/>
  <tableColumns count="3">
    <tableColumn id="1" xr3:uid="{9079AF0A-981E-4B20-AC88-56890DA9C1FD}" name="National - Q4 2024" dataDxfId="8"/>
    <tableColumn id="2" xr3:uid="{C5715F5A-0947-451C-845E-5AF2611FF028}" name="US Average" dataDxfId="7" dataCellStyle="Normal 2 2"/>
    <tableColumn id="3" xr3:uid="{E471AE45-BFBB-4E3F-8713-6CA3DBD8408E}" name="Median" dataDxfId="6"/>
  </tableColumns>
  <tableStyleInfo name="TableStyleMedium16"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7E9FC79-7BE1-4982-8EC1-DADEA1FC8D60}" name="Category122114" displayName="Category122114" ref="G2:J30" totalsRowShown="0" headerRowDxfId="5" dataDxfId="4">
  <autoFilter ref="G2:J30" xr:uid="{565E5F01-F55D-4423-8221-FE9537902289}"/>
  <tableColumns count="4">
    <tableColumn id="1" xr3:uid="{5CEAB2FD-8F11-4822-8F40-F85530B7FA89}" name="Staffing Category" dataDxfId="3"/>
    <tableColumn id="2" xr3:uid="{340D1F30-C145-4D5A-AA95-ED3CEDE685E1}" name="US Total Hours" dataDxfId="2"/>
    <tableColumn id="4" xr3:uid="{9ECD4F43-BFBC-4C6C-8FD1-ED50225E41AB}" name="MPRD" dataDxfId="1"/>
    <tableColumn id="3" xr3:uid="{DB60B59D-7DE8-408C-965E-F8EF69198EF8}" name="NHs reporting 0" dataDxfId="0">
      <calculatedColumnFormula>COUNTIF(#REF!, 0)</calculatedColumnFormula>
    </tableColumn>
  </tableColumns>
  <tableStyleInfo name="TableStyleMedium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table" Target="../tables/table7.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01252-0D00-4EF5-B235-3A3C78DE4CE1}">
  <dimension ref="A1:AL93"/>
  <sheetViews>
    <sheetView zoomScale="164" zoomScaleNormal="90" workbookViewId="0">
      <pane xSplit="4" ySplit="1" topLeftCell="E2" activePane="bottomRight" state="frozen"/>
      <selection pane="topRight"/>
      <selection pane="bottomLeft"/>
      <selection pane="bottomRight" activeCell="I1" sqref="I1:I1048576"/>
    </sheetView>
  </sheetViews>
  <sheetFormatPr baseColWidth="10" defaultColWidth="8.6640625" defaultRowHeight="15" outlineLevelCol="1" x14ac:dyDescent="0.2"/>
  <cols>
    <col min="1" max="1" width="8.5" customWidth="1"/>
    <col min="2" max="2" width="60.6640625" customWidth="1"/>
    <col min="3" max="4" width="21.6640625" customWidth="1"/>
    <col min="5" max="5" width="15.6640625" customWidth="1"/>
    <col min="6" max="6" width="12.83203125" bestFit="1" customWidth="1"/>
    <col min="7" max="7" width="15.6640625" style="38" hidden="1" customWidth="1"/>
    <col min="8" max="15" width="15.6640625" customWidth="1"/>
    <col min="16" max="17" width="15.6640625" hidden="1" customWidth="1" outlineLevel="1"/>
    <col min="18" max="18" width="15.6640625" customWidth="1" collapsed="1"/>
    <col min="19" max="20" width="15.6640625" hidden="1" customWidth="1" outlineLevel="1"/>
    <col min="21" max="21" width="15.6640625" customWidth="1" collapsed="1"/>
    <col min="22" max="24" width="15.6640625" hidden="1" customWidth="1" outlineLevel="1"/>
    <col min="25" max="25" width="15.6640625" customWidth="1" collapsed="1"/>
    <col min="26" max="28" width="15.6640625" hidden="1" customWidth="1" outlineLevel="1"/>
    <col min="29" max="29" width="15.6640625" customWidth="1" collapsed="1"/>
    <col min="30" max="35" width="15.6640625" customWidth="1"/>
    <col min="36" max="36" width="10.5" style="2" customWidth="1"/>
    <col min="37" max="37" width="10.5" customWidth="1"/>
    <col min="39" max="44" width="12.5" customWidth="1"/>
    <col min="45" max="45" width="18.5" customWidth="1"/>
    <col min="47" max="47" width="22.1640625" customWidth="1"/>
  </cols>
  <sheetData>
    <row r="1" spans="1:38" s="1" customFormat="1" ht="190" customHeight="1" x14ac:dyDescent="0.2">
      <c r="A1" s="1" t="s">
        <v>0</v>
      </c>
      <c r="B1" s="1" t="s">
        <v>1</v>
      </c>
      <c r="C1" s="1" t="s">
        <v>2</v>
      </c>
      <c r="D1" s="1" t="s">
        <v>3</v>
      </c>
      <c r="E1" s="1" t="s">
        <v>4</v>
      </c>
      <c r="F1" s="1" t="s">
        <v>5</v>
      </c>
      <c r="G1" s="44" t="s">
        <v>335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1" t="s">
        <v>29</v>
      </c>
      <c r="AF1" s="1" t="s">
        <v>30</v>
      </c>
      <c r="AG1" s="1" t="s">
        <v>31</v>
      </c>
      <c r="AH1" s="1" t="s">
        <v>32</v>
      </c>
      <c r="AI1" s="1" t="s">
        <v>33</v>
      </c>
      <c r="AJ1" s="37" t="s">
        <v>34</v>
      </c>
      <c r="AK1" s="1" t="s">
        <v>35</v>
      </c>
      <c r="AL1" s="1" t="s">
        <v>36</v>
      </c>
    </row>
    <row r="2" spans="1:38" x14ac:dyDescent="0.2">
      <c r="A2" t="s">
        <v>90</v>
      </c>
      <c r="B2" t="s">
        <v>91</v>
      </c>
      <c r="C2" t="s">
        <v>67</v>
      </c>
      <c r="D2" t="s">
        <v>65</v>
      </c>
      <c r="E2" s="2">
        <v>130.358695652173</v>
      </c>
      <c r="F2" s="2">
        <v>5.38043478260869</v>
      </c>
      <c r="G2" s="39"/>
      <c r="H2" s="2">
        <v>2.4764445926790599</v>
      </c>
      <c r="I2" s="2">
        <v>0</v>
      </c>
      <c r="J2" s="2">
        <v>0</v>
      </c>
      <c r="K2" s="2">
        <v>0</v>
      </c>
      <c r="L2" s="2">
        <v>0</v>
      </c>
      <c r="M2" s="2">
        <v>0</v>
      </c>
      <c r="N2" s="2">
        <v>0</v>
      </c>
      <c r="O2" s="2">
        <v>6.4824999999999999</v>
      </c>
      <c r="P2" s="2">
        <v>0</v>
      </c>
      <c r="Q2" s="2">
        <v>10.1880434782608</v>
      </c>
      <c r="R2" s="2">
        <v>4.6892353873092603</v>
      </c>
      <c r="S2" s="2">
        <v>5.3846739130434704</v>
      </c>
      <c r="T2" s="2">
        <v>13.303804347826</v>
      </c>
      <c r="U2" s="2">
        <v>8.6017176686400401</v>
      </c>
      <c r="V2" s="2">
        <v>12.258152173913</v>
      </c>
      <c r="W2" s="2">
        <v>5.6613043478260803</v>
      </c>
      <c r="X2" s="2">
        <v>0</v>
      </c>
      <c r="Y2" s="2">
        <v>8.2477611940298505</v>
      </c>
      <c r="Z2" s="2">
        <v>18.9016304347826</v>
      </c>
      <c r="AA2" s="2">
        <v>10.8147826086956</v>
      </c>
      <c r="AB2" s="2">
        <v>0</v>
      </c>
      <c r="AC2" s="2">
        <v>13.6775285583256</v>
      </c>
      <c r="AD2" s="2">
        <v>0</v>
      </c>
      <c r="AE2" s="2">
        <v>0</v>
      </c>
      <c r="AF2" s="2">
        <v>0</v>
      </c>
      <c r="AG2" s="2">
        <v>0</v>
      </c>
      <c r="AH2" s="2">
        <v>1.5943478260869499</v>
      </c>
      <c r="AI2" s="2">
        <v>0</v>
      </c>
      <c r="AJ2" s="2">
        <v>0.34782608695652101</v>
      </c>
      <c r="AK2">
        <v>335449</v>
      </c>
      <c r="AL2" s="39">
        <v>2</v>
      </c>
    </row>
    <row r="3" spans="1:38" x14ac:dyDescent="0.2">
      <c r="A3" t="s">
        <v>90</v>
      </c>
      <c r="B3" t="s">
        <v>92</v>
      </c>
      <c r="C3" t="s">
        <v>93</v>
      </c>
      <c r="D3" t="s">
        <v>94</v>
      </c>
      <c r="E3" s="2">
        <v>109.532608695652</v>
      </c>
      <c r="F3" s="2">
        <v>5.0217391304347796</v>
      </c>
      <c r="G3" s="39"/>
      <c r="H3" s="2">
        <v>2.7508186960404801</v>
      </c>
      <c r="I3" s="2">
        <v>0</v>
      </c>
      <c r="J3" s="2">
        <v>0</v>
      </c>
      <c r="K3" s="2">
        <v>0</v>
      </c>
      <c r="L3" s="2">
        <v>36.236413043478201</v>
      </c>
      <c r="M3" s="2">
        <v>0</v>
      </c>
      <c r="N3" s="2">
        <v>0</v>
      </c>
      <c r="O3" s="2">
        <v>8.8288043478260807</v>
      </c>
      <c r="P3" s="2">
        <v>36.394021739130402</v>
      </c>
      <c r="Q3" s="2">
        <v>0</v>
      </c>
      <c r="R3" s="2">
        <v>19.935992855016298</v>
      </c>
      <c r="S3" s="2">
        <v>28.073369565217298</v>
      </c>
      <c r="T3" s="2">
        <v>0</v>
      </c>
      <c r="U3" s="2">
        <v>15.378088716880001</v>
      </c>
      <c r="V3" s="2">
        <v>16.7092391304347</v>
      </c>
      <c r="W3" s="2">
        <v>15.059782608695601</v>
      </c>
      <c r="X3" s="2">
        <v>0</v>
      </c>
      <c r="Y3" s="2">
        <v>17.402500744269101</v>
      </c>
      <c r="Z3" s="2">
        <v>14.451086956521699</v>
      </c>
      <c r="AA3" s="2">
        <v>3.7309782608695601</v>
      </c>
      <c r="AB3" s="2">
        <v>15.5733695652173</v>
      </c>
      <c r="AC3" s="2">
        <v>18.4906222089907</v>
      </c>
      <c r="AD3" s="2">
        <v>0</v>
      </c>
      <c r="AE3" s="2">
        <v>0</v>
      </c>
      <c r="AF3" s="2">
        <v>0</v>
      </c>
      <c r="AG3" s="2">
        <v>68.730978260869506</v>
      </c>
      <c r="AH3" s="2">
        <v>64.138586956521706</v>
      </c>
      <c r="AI3" s="2">
        <v>0</v>
      </c>
      <c r="AJ3" s="2">
        <v>0</v>
      </c>
      <c r="AK3">
        <v>335829</v>
      </c>
      <c r="AL3" s="39">
        <v>2</v>
      </c>
    </row>
    <row r="4" spans="1:38" hidden="1" x14ac:dyDescent="0.2">
      <c r="A4" t="s">
        <v>90</v>
      </c>
      <c r="B4" t="s">
        <v>95</v>
      </c>
      <c r="C4" t="s">
        <v>96</v>
      </c>
      <c r="D4" t="s">
        <v>94</v>
      </c>
      <c r="E4" s="2">
        <v>185.33695652173901</v>
      </c>
      <c r="F4" s="2">
        <v>5.0543478260869499</v>
      </c>
      <c r="G4" s="39"/>
      <c r="H4" s="2">
        <v>1.6362676675854699</v>
      </c>
      <c r="I4" s="2">
        <v>0.66304347826086896</v>
      </c>
      <c r="J4" s="2">
        <v>0.21465016714562099</v>
      </c>
      <c r="K4" s="2">
        <v>0</v>
      </c>
      <c r="L4" s="2">
        <v>10.236413043478199</v>
      </c>
      <c r="M4" s="2">
        <v>0</v>
      </c>
      <c r="N4" s="2">
        <v>0</v>
      </c>
      <c r="O4" s="2">
        <v>4.8046739130434704</v>
      </c>
      <c r="P4" s="2">
        <v>16.0625</v>
      </c>
      <c r="Q4" s="2">
        <v>0</v>
      </c>
      <c r="R4" s="2">
        <v>5.1999882704826597</v>
      </c>
      <c r="S4" s="2">
        <v>0</v>
      </c>
      <c r="T4" s="2">
        <v>5.0543478260869499</v>
      </c>
      <c r="U4" s="2">
        <v>1.6362676675854699</v>
      </c>
      <c r="V4" s="2">
        <v>18.1269565217391</v>
      </c>
      <c r="W4" s="2">
        <v>13.743804347826</v>
      </c>
      <c r="X4" s="2">
        <v>0</v>
      </c>
      <c r="Y4" s="2">
        <v>10.317670517858099</v>
      </c>
      <c r="Z4" s="2">
        <v>22.8503260869565</v>
      </c>
      <c r="AA4" s="2">
        <v>6.8316304347825998</v>
      </c>
      <c r="AB4" s="2">
        <v>0</v>
      </c>
      <c r="AC4" s="2">
        <v>9.6090786464136908</v>
      </c>
      <c r="AD4" s="2">
        <v>0</v>
      </c>
      <c r="AE4" s="2">
        <v>15.9398913043478</v>
      </c>
      <c r="AF4" s="2">
        <v>0</v>
      </c>
      <c r="AG4" s="2">
        <v>0</v>
      </c>
      <c r="AH4" s="2">
        <v>0</v>
      </c>
      <c r="AI4" s="2">
        <v>0</v>
      </c>
      <c r="AJ4" s="2">
        <v>0</v>
      </c>
      <c r="AK4">
        <v>335795</v>
      </c>
      <c r="AL4" s="39">
        <v>2</v>
      </c>
    </row>
    <row r="5" spans="1:38" hidden="1" x14ac:dyDescent="0.2">
      <c r="A5" t="s">
        <v>90</v>
      </c>
      <c r="B5" t="s">
        <v>97</v>
      </c>
      <c r="C5" t="s">
        <v>98</v>
      </c>
      <c r="D5" t="s">
        <v>94</v>
      </c>
      <c r="E5" s="2">
        <v>53.945652173912997</v>
      </c>
      <c r="F5" s="2">
        <v>5.3532608695652097</v>
      </c>
      <c r="G5" s="39"/>
      <c r="H5" s="2">
        <v>5.9540600443280196</v>
      </c>
      <c r="I5" s="2">
        <v>1.4021739130434701</v>
      </c>
      <c r="J5" s="2">
        <v>1.5595406004432799</v>
      </c>
      <c r="K5" s="2">
        <v>0.58152173913043403</v>
      </c>
      <c r="L5" s="2">
        <v>4.3206521739130404</v>
      </c>
      <c r="M5" s="2">
        <v>0</v>
      </c>
      <c r="N5" s="2">
        <v>0</v>
      </c>
      <c r="O5" s="2">
        <v>0</v>
      </c>
      <c r="P5" s="2">
        <v>4.8668478260869499</v>
      </c>
      <c r="Q5" s="2">
        <v>0</v>
      </c>
      <c r="R5" s="2">
        <v>5.4130566189804501</v>
      </c>
      <c r="S5" s="2">
        <v>10.1875</v>
      </c>
      <c r="T5" s="2">
        <v>6.3967391304347796</v>
      </c>
      <c r="U5" s="2">
        <v>18.445496675397901</v>
      </c>
      <c r="V5" s="2">
        <v>5.7119565217391299</v>
      </c>
      <c r="W5" s="2">
        <v>0</v>
      </c>
      <c r="X5" s="2">
        <v>0</v>
      </c>
      <c r="Y5" s="2">
        <v>6.3530122909530498</v>
      </c>
      <c r="Z5" s="2">
        <v>6.25</v>
      </c>
      <c r="AA5" s="2">
        <v>0</v>
      </c>
      <c r="AB5" s="2">
        <v>0</v>
      </c>
      <c r="AC5" s="2">
        <v>6.9514406608905901</v>
      </c>
      <c r="AD5" s="2">
        <v>0</v>
      </c>
      <c r="AE5" s="2">
        <v>0</v>
      </c>
      <c r="AF5" s="2">
        <v>0</v>
      </c>
      <c r="AG5" s="2">
        <v>0</v>
      </c>
      <c r="AH5" s="2">
        <v>5.4347826086956499E-2</v>
      </c>
      <c r="AI5" s="2">
        <v>0</v>
      </c>
      <c r="AJ5" s="2">
        <v>0</v>
      </c>
      <c r="AK5">
        <v>335614</v>
      </c>
      <c r="AL5" s="39">
        <v>2</v>
      </c>
    </row>
    <row r="6" spans="1:38" hidden="1" x14ac:dyDescent="0.2">
      <c r="A6" t="s">
        <v>90</v>
      </c>
      <c r="B6" t="s">
        <v>99</v>
      </c>
      <c r="C6" t="s">
        <v>100</v>
      </c>
      <c r="D6" t="s">
        <v>94</v>
      </c>
      <c r="E6" s="2">
        <v>34.641304347826001</v>
      </c>
      <c r="F6" s="2">
        <v>4.4021739130434696</v>
      </c>
      <c r="G6" s="39"/>
      <c r="H6" s="2">
        <v>7.6247254471289603</v>
      </c>
      <c r="I6" s="2">
        <v>0.42391304347825998</v>
      </c>
      <c r="J6" s="2">
        <v>0.73423282083464003</v>
      </c>
      <c r="K6" s="2">
        <v>0.34782608695652101</v>
      </c>
      <c r="L6" s="2">
        <v>3.0227173913043401</v>
      </c>
      <c r="M6" s="2">
        <v>0</v>
      </c>
      <c r="N6" s="2">
        <v>0</v>
      </c>
      <c r="O6" s="2">
        <v>0.27173913043478198</v>
      </c>
      <c r="P6" s="2">
        <v>3.6021739130434698</v>
      </c>
      <c r="Q6" s="2">
        <v>0</v>
      </c>
      <c r="R6" s="2">
        <v>6.23909632883589</v>
      </c>
      <c r="S6" s="2">
        <v>0</v>
      </c>
      <c r="T6" s="2">
        <v>2.48597826086956</v>
      </c>
      <c r="U6" s="2">
        <v>4.30580483213053</v>
      </c>
      <c r="V6" s="2">
        <v>1.32902173913043</v>
      </c>
      <c r="W6" s="2">
        <v>5.1230434782608603</v>
      </c>
      <c r="X6" s="2">
        <v>0</v>
      </c>
      <c r="Y6" s="2">
        <v>11.175211797929</v>
      </c>
      <c r="Z6" s="2">
        <v>12.443152173913001</v>
      </c>
      <c r="AA6" s="2">
        <v>0</v>
      </c>
      <c r="AB6" s="2">
        <v>0</v>
      </c>
      <c r="AC6" s="2">
        <v>21.551992469406901</v>
      </c>
      <c r="AD6" s="2">
        <v>0</v>
      </c>
      <c r="AE6" s="2">
        <v>5.1272826086956496</v>
      </c>
      <c r="AF6" s="2">
        <v>0</v>
      </c>
      <c r="AG6" s="2">
        <v>0</v>
      </c>
      <c r="AH6" s="2">
        <v>0</v>
      </c>
      <c r="AI6" s="2">
        <v>0</v>
      </c>
      <c r="AJ6" s="2">
        <v>0</v>
      </c>
      <c r="AK6">
        <v>335490</v>
      </c>
      <c r="AL6" s="39">
        <v>2</v>
      </c>
    </row>
    <row r="7" spans="1:38" x14ac:dyDescent="0.2">
      <c r="A7" t="s">
        <v>90</v>
      </c>
      <c r="B7" t="s">
        <v>101</v>
      </c>
      <c r="C7" t="s">
        <v>102</v>
      </c>
      <c r="D7" t="s">
        <v>94</v>
      </c>
      <c r="E7" s="2">
        <v>108.66304347825999</v>
      </c>
      <c r="F7" s="2">
        <v>5.38043478260869</v>
      </c>
      <c r="G7" s="39"/>
      <c r="H7" s="2">
        <v>2.9708912673802099</v>
      </c>
      <c r="I7" s="2">
        <v>0</v>
      </c>
      <c r="J7" s="2">
        <v>0</v>
      </c>
      <c r="K7" s="2">
        <v>0</v>
      </c>
      <c r="L7" s="2">
        <v>0</v>
      </c>
      <c r="M7" s="2">
        <v>0</v>
      </c>
      <c r="N7" s="2">
        <v>0</v>
      </c>
      <c r="O7" s="2">
        <v>4.6020652173913001</v>
      </c>
      <c r="P7" s="2">
        <v>9.8088043478260794</v>
      </c>
      <c r="Q7" s="2">
        <v>0</v>
      </c>
      <c r="R7" s="2">
        <v>5.4160848254476299</v>
      </c>
      <c r="S7" s="2">
        <v>5.1042391304347801</v>
      </c>
      <c r="T7" s="2">
        <v>13.9204347826086</v>
      </c>
      <c r="U7" s="2">
        <v>10.504771431429401</v>
      </c>
      <c r="V7" s="2">
        <v>15.621521739130401</v>
      </c>
      <c r="W7" s="2">
        <v>13.3228260869565</v>
      </c>
      <c r="X7" s="2">
        <v>0</v>
      </c>
      <c r="Y7" s="2">
        <v>15.982074622386699</v>
      </c>
      <c r="Z7" s="2">
        <v>15.2601086956521</v>
      </c>
      <c r="AA7" s="2">
        <v>3.1983695652173898</v>
      </c>
      <c r="AB7" s="2">
        <v>4.2995652173912999</v>
      </c>
      <c r="AC7" s="2">
        <v>12.5662098629588</v>
      </c>
      <c r="AD7" s="2">
        <v>0</v>
      </c>
      <c r="AE7" s="2">
        <v>0</v>
      </c>
      <c r="AF7" s="2">
        <v>0</v>
      </c>
      <c r="AG7" s="2">
        <v>0</v>
      </c>
      <c r="AH7" s="2">
        <v>0</v>
      </c>
      <c r="AI7" s="2">
        <v>0</v>
      </c>
      <c r="AJ7" s="2">
        <v>0</v>
      </c>
      <c r="AK7">
        <v>335005</v>
      </c>
      <c r="AL7" s="39">
        <v>2</v>
      </c>
    </row>
    <row r="8" spans="1:38" x14ac:dyDescent="0.2">
      <c r="A8" t="s">
        <v>90</v>
      </c>
      <c r="B8" t="s">
        <v>103</v>
      </c>
      <c r="C8" t="s">
        <v>104</v>
      </c>
      <c r="D8" t="s">
        <v>45</v>
      </c>
      <c r="E8" s="2">
        <v>101.239130434782</v>
      </c>
      <c r="F8" s="2">
        <v>6.3565217391304296</v>
      </c>
      <c r="G8" s="39"/>
      <c r="H8" s="2">
        <v>3.7672321236847699</v>
      </c>
      <c r="I8" s="2">
        <v>0</v>
      </c>
      <c r="J8" s="2">
        <v>0</v>
      </c>
      <c r="K8" s="2">
        <v>0</v>
      </c>
      <c r="L8" s="2">
        <v>5.1230434782608603</v>
      </c>
      <c r="M8" s="2">
        <v>0</v>
      </c>
      <c r="N8" s="2">
        <v>0</v>
      </c>
      <c r="O8" s="2">
        <v>0</v>
      </c>
      <c r="P8" s="2">
        <v>5.98597826086956</v>
      </c>
      <c r="Q8" s="2">
        <v>0</v>
      </c>
      <c r="R8" s="2">
        <v>3.5476272278290701</v>
      </c>
      <c r="S8" s="2">
        <v>5.6022826086956501</v>
      </c>
      <c r="T8" s="2">
        <v>16.343369565217301</v>
      </c>
      <c r="U8" s="2">
        <v>13.006227184882899</v>
      </c>
      <c r="V8" s="2">
        <v>2.54793478260869</v>
      </c>
      <c r="W8" s="2">
        <v>4.8095652173912997</v>
      </c>
      <c r="X8" s="2">
        <v>7.81336956521739</v>
      </c>
      <c r="Y8" s="2">
        <v>8.9911101567532707</v>
      </c>
      <c r="Z8" s="2">
        <v>10.7334782608695</v>
      </c>
      <c r="AA8" s="2">
        <v>0</v>
      </c>
      <c r="AB8" s="2">
        <v>4.7803260869565198</v>
      </c>
      <c r="AC8" s="2">
        <v>9.1943525875026797</v>
      </c>
      <c r="AD8" s="2">
        <v>0</v>
      </c>
      <c r="AE8" s="2">
        <v>0</v>
      </c>
      <c r="AF8" s="2">
        <v>0</v>
      </c>
      <c r="AG8" s="2">
        <v>0</v>
      </c>
      <c r="AH8" s="2">
        <v>0</v>
      </c>
      <c r="AI8" s="2">
        <v>0</v>
      </c>
      <c r="AJ8" s="2">
        <v>0</v>
      </c>
      <c r="AK8">
        <v>335657</v>
      </c>
      <c r="AL8" s="39">
        <v>2</v>
      </c>
    </row>
    <row r="9" spans="1:38" hidden="1" x14ac:dyDescent="0.2">
      <c r="A9" t="s">
        <v>90</v>
      </c>
      <c r="B9" t="s">
        <v>105</v>
      </c>
      <c r="C9" t="s">
        <v>100</v>
      </c>
      <c r="D9" t="s">
        <v>94</v>
      </c>
      <c r="E9" s="2">
        <v>145.608695652173</v>
      </c>
      <c r="F9" s="2">
        <v>5.2173913043478199</v>
      </c>
      <c r="G9" s="39"/>
      <c r="H9" s="2">
        <v>2.1498954911913999</v>
      </c>
      <c r="I9" s="2">
        <v>0.45652173913043398</v>
      </c>
      <c r="J9" s="2">
        <v>0.188115855479247</v>
      </c>
      <c r="K9" s="2">
        <v>1.5652173913043399</v>
      </c>
      <c r="L9" s="2">
        <v>5.7961956521739104</v>
      </c>
      <c r="M9" s="2">
        <v>0</v>
      </c>
      <c r="N9" s="2">
        <v>0</v>
      </c>
      <c r="O9" s="2">
        <v>5.1692391304347796</v>
      </c>
      <c r="P9" s="2">
        <v>4.9565217391304301</v>
      </c>
      <c r="Q9" s="2">
        <v>4.9592391304347796</v>
      </c>
      <c r="R9" s="2">
        <v>4.0859211704986498</v>
      </c>
      <c r="S9" s="2">
        <v>0</v>
      </c>
      <c r="T9" s="2">
        <v>25.293478260869499</v>
      </c>
      <c r="U9" s="2">
        <v>10.422514183338301</v>
      </c>
      <c r="V9" s="2">
        <v>7.7932608695652101</v>
      </c>
      <c r="W9" s="2">
        <v>19.170434782608599</v>
      </c>
      <c r="X9" s="2">
        <v>0</v>
      </c>
      <c r="Y9" s="2">
        <v>11.110749477455901</v>
      </c>
      <c r="Z9" s="2">
        <v>13.827717391304301</v>
      </c>
      <c r="AA9" s="2">
        <v>16.634130434782598</v>
      </c>
      <c r="AB9" s="2">
        <v>0</v>
      </c>
      <c r="AC9" s="2">
        <v>12.5522096148103</v>
      </c>
      <c r="AD9" s="2">
        <v>0</v>
      </c>
      <c r="AE9" s="2">
        <v>0</v>
      </c>
      <c r="AF9" s="2">
        <v>0</v>
      </c>
      <c r="AG9" s="2">
        <v>0</v>
      </c>
      <c r="AH9" s="2">
        <v>4.1277173913043397</v>
      </c>
      <c r="AI9" s="2">
        <v>0</v>
      </c>
      <c r="AJ9" s="2">
        <v>0</v>
      </c>
      <c r="AK9">
        <v>335185</v>
      </c>
      <c r="AL9" s="39">
        <v>2</v>
      </c>
    </row>
    <row r="10" spans="1:38" x14ac:dyDescent="0.2">
      <c r="A10" t="s">
        <v>90</v>
      </c>
      <c r="B10" t="s">
        <v>106</v>
      </c>
      <c r="C10" t="s">
        <v>107</v>
      </c>
      <c r="D10" t="s">
        <v>94</v>
      </c>
      <c r="E10" s="2">
        <v>114.695652173913</v>
      </c>
      <c r="F10" s="2">
        <v>5.7391304347826004</v>
      </c>
      <c r="G10" s="39"/>
      <c r="H10" s="2">
        <v>3.0022744503411598</v>
      </c>
      <c r="I10" s="2">
        <v>0</v>
      </c>
      <c r="J10" s="2">
        <v>0</v>
      </c>
      <c r="K10" s="2">
        <v>0</v>
      </c>
      <c r="L10" s="2">
        <v>12.3586956521739</v>
      </c>
      <c r="M10" s="2">
        <v>0</v>
      </c>
      <c r="N10" s="2">
        <v>0</v>
      </c>
      <c r="O10" s="2">
        <v>4.6514130434782599</v>
      </c>
      <c r="P10" s="2">
        <v>10.5815217391304</v>
      </c>
      <c r="Q10" s="2">
        <v>0</v>
      </c>
      <c r="R10" s="2">
        <v>5.5354435178165202</v>
      </c>
      <c r="S10" s="2">
        <v>5.2173913043478199</v>
      </c>
      <c r="T10" s="2">
        <v>10.3152173913043</v>
      </c>
      <c r="U10" s="2">
        <v>8.1254738438210694</v>
      </c>
      <c r="V10" s="2">
        <v>9.3152173913043406</v>
      </c>
      <c r="W10" s="2">
        <v>18.016304347826001</v>
      </c>
      <c r="X10" s="2">
        <v>0</v>
      </c>
      <c r="Y10" s="2">
        <v>14.2977634571645</v>
      </c>
      <c r="Z10" s="2">
        <v>16.222826086956498</v>
      </c>
      <c r="AA10" s="2">
        <v>9.2581521739130395</v>
      </c>
      <c r="AB10" s="2">
        <v>3.75</v>
      </c>
      <c r="AC10" s="2">
        <v>15.291413949961999</v>
      </c>
      <c r="AD10" s="2">
        <v>0</v>
      </c>
      <c r="AE10" s="2">
        <v>1.1875</v>
      </c>
      <c r="AF10" s="2">
        <v>0</v>
      </c>
      <c r="AG10" s="2">
        <v>0</v>
      </c>
      <c r="AH10" s="2">
        <v>4.7744565217391299</v>
      </c>
      <c r="AI10" s="2">
        <v>0</v>
      </c>
      <c r="AJ10" s="2">
        <v>0</v>
      </c>
      <c r="AK10">
        <v>335441</v>
      </c>
      <c r="AL10" s="39">
        <v>2</v>
      </c>
    </row>
    <row r="11" spans="1:38" hidden="1" x14ac:dyDescent="0.2">
      <c r="A11" t="s">
        <v>90</v>
      </c>
      <c r="B11" t="s">
        <v>108</v>
      </c>
      <c r="C11" t="s">
        <v>98</v>
      </c>
      <c r="D11" t="s">
        <v>94</v>
      </c>
      <c r="E11" s="2">
        <v>185.489130434782</v>
      </c>
      <c r="F11" s="2">
        <v>5.38043478260869</v>
      </c>
      <c r="G11" s="39"/>
      <c r="H11" s="2">
        <v>1.74040433636097</v>
      </c>
      <c r="I11" s="2">
        <v>3.0978260869565202</v>
      </c>
      <c r="J11" s="2">
        <v>1.00205098154116</v>
      </c>
      <c r="K11" s="2">
        <v>0</v>
      </c>
      <c r="L11" s="2">
        <v>4.9311956521739102</v>
      </c>
      <c r="M11" s="2">
        <v>0</v>
      </c>
      <c r="N11" s="2">
        <v>0</v>
      </c>
      <c r="O11" s="2">
        <v>12.524456521739101</v>
      </c>
      <c r="P11" s="2">
        <v>20.551413043478199</v>
      </c>
      <c r="Q11" s="2">
        <v>0</v>
      </c>
      <c r="R11" s="2">
        <v>6.6477468502783399</v>
      </c>
      <c r="S11" s="2">
        <v>4.0608695652173896</v>
      </c>
      <c r="T11" s="2">
        <v>21.545652173912998</v>
      </c>
      <c r="U11" s="2">
        <v>8.2829182537357102</v>
      </c>
      <c r="V11" s="2">
        <v>32.997282608695599</v>
      </c>
      <c r="W11" s="2">
        <v>13.766304347826001</v>
      </c>
      <c r="X11" s="2">
        <v>0</v>
      </c>
      <c r="Y11" s="2">
        <v>15.126574860826199</v>
      </c>
      <c r="Z11" s="2">
        <v>26.6548913043478</v>
      </c>
      <c r="AA11" s="2">
        <v>40.4673913043478</v>
      </c>
      <c r="AB11" s="2">
        <v>0</v>
      </c>
      <c r="AC11" s="2">
        <v>21.7119835921476</v>
      </c>
      <c r="AD11" s="2">
        <v>0</v>
      </c>
      <c r="AE11" s="2">
        <v>0</v>
      </c>
      <c r="AF11" s="2">
        <v>0</v>
      </c>
      <c r="AG11" s="2">
        <v>0</v>
      </c>
      <c r="AH11" s="2">
        <v>45.413804347826002</v>
      </c>
      <c r="AI11" s="2">
        <v>0</v>
      </c>
      <c r="AJ11" s="2">
        <v>0</v>
      </c>
      <c r="AK11">
        <v>335271</v>
      </c>
      <c r="AL11" s="39">
        <v>2</v>
      </c>
    </row>
    <row r="12" spans="1:38" hidden="1" x14ac:dyDescent="0.2">
      <c r="A12" t="s">
        <v>90</v>
      </c>
      <c r="B12" t="s">
        <v>109</v>
      </c>
      <c r="C12" t="s">
        <v>93</v>
      </c>
      <c r="D12" t="s">
        <v>94</v>
      </c>
      <c r="E12" s="2">
        <v>166.423913043478</v>
      </c>
      <c r="F12" s="2">
        <v>5.2282608695652097</v>
      </c>
      <c r="G12" s="39"/>
      <c r="H12" s="2">
        <v>1.88491933903729</v>
      </c>
      <c r="I12" s="2">
        <v>4.9266304347826004</v>
      </c>
      <c r="J12" s="2">
        <v>1.77617399255437</v>
      </c>
      <c r="K12" s="2">
        <v>24.524456521739101</v>
      </c>
      <c r="L12" s="2">
        <v>21.540760869565201</v>
      </c>
      <c r="M12" s="2">
        <v>0</v>
      </c>
      <c r="N12" s="2">
        <v>46.032608695652101</v>
      </c>
      <c r="O12" s="2">
        <v>31.307065217391301</v>
      </c>
      <c r="P12" s="2">
        <v>24.614130434782599</v>
      </c>
      <c r="Q12" s="2">
        <v>0</v>
      </c>
      <c r="R12" s="2">
        <v>8.8740121481287897</v>
      </c>
      <c r="S12" s="2">
        <v>72.114130434782595</v>
      </c>
      <c r="T12" s="2">
        <v>4.0543478260869499</v>
      </c>
      <c r="U12" s="2">
        <v>27.4606492064528</v>
      </c>
      <c r="V12" s="2">
        <v>31.676630434782599</v>
      </c>
      <c r="W12" s="2">
        <v>0</v>
      </c>
      <c r="X12" s="2">
        <v>0</v>
      </c>
      <c r="Y12" s="2">
        <v>11.4202207563189</v>
      </c>
      <c r="Z12" s="2">
        <v>28.3423913043478</v>
      </c>
      <c r="AA12" s="2">
        <v>0</v>
      </c>
      <c r="AB12" s="2">
        <v>0</v>
      </c>
      <c r="AC12" s="2">
        <v>10.218143818169899</v>
      </c>
      <c r="AD12" s="2">
        <v>0</v>
      </c>
      <c r="AE12" s="2">
        <v>62.820652173912997</v>
      </c>
      <c r="AF12" s="2">
        <v>0</v>
      </c>
      <c r="AG12" s="2">
        <v>66.269021739130395</v>
      </c>
      <c r="AH12" s="2">
        <v>206.71739130434699</v>
      </c>
      <c r="AI12" s="2">
        <v>0</v>
      </c>
      <c r="AJ12" s="2">
        <v>14.345108695652099</v>
      </c>
      <c r="AK12" t="s">
        <v>110</v>
      </c>
      <c r="AL12" s="39">
        <v>2</v>
      </c>
    </row>
    <row r="13" spans="1:38" hidden="1" x14ac:dyDescent="0.2">
      <c r="A13" t="s">
        <v>90</v>
      </c>
      <c r="B13" t="s">
        <v>111</v>
      </c>
      <c r="C13" t="s">
        <v>75</v>
      </c>
      <c r="D13" t="s">
        <v>94</v>
      </c>
      <c r="E13" s="2">
        <v>143.923913043478</v>
      </c>
      <c r="F13" s="2">
        <v>5.3913043478260798</v>
      </c>
      <c r="G13" s="39"/>
      <c r="H13" s="2">
        <v>2.2475643833547299</v>
      </c>
      <c r="I13" s="2">
        <v>0.56521739130434701</v>
      </c>
      <c r="J13" s="2">
        <v>0.235631749867834</v>
      </c>
      <c r="K13" s="2">
        <v>1.1820652173913</v>
      </c>
      <c r="L13" s="2">
        <v>4.2608695652173898</v>
      </c>
      <c r="M13" s="2">
        <v>0</v>
      </c>
      <c r="N13" s="2">
        <v>0</v>
      </c>
      <c r="O13" s="2">
        <v>7.19380434782608</v>
      </c>
      <c r="P13" s="2">
        <v>10.665760869565201</v>
      </c>
      <c r="Q13" s="2">
        <v>3.0788043478260798</v>
      </c>
      <c r="R13" s="2">
        <v>5.7299297636130202</v>
      </c>
      <c r="S13" s="2">
        <v>4.6956521739130404</v>
      </c>
      <c r="T13" s="2">
        <v>30.508152173913</v>
      </c>
      <c r="U13" s="2">
        <v>14.6760063439317</v>
      </c>
      <c r="V13" s="2">
        <v>30.6548913043478</v>
      </c>
      <c r="W13" s="2">
        <v>16.690217391304301</v>
      </c>
      <c r="X13" s="2">
        <v>0</v>
      </c>
      <c r="Y13" s="2">
        <v>19.737557586285</v>
      </c>
      <c r="Z13" s="2">
        <v>36.627717391304301</v>
      </c>
      <c r="AA13" s="2">
        <v>20.3505434782608</v>
      </c>
      <c r="AB13" s="2">
        <v>0</v>
      </c>
      <c r="AC13" s="2">
        <v>23.753492938599798</v>
      </c>
      <c r="AD13" s="2">
        <v>0</v>
      </c>
      <c r="AE13" s="2">
        <v>0</v>
      </c>
      <c r="AF13" s="2">
        <v>0</v>
      </c>
      <c r="AG13" s="2">
        <v>0</v>
      </c>
      <c r="AH13" s="2">
        <v>7.0353260869565197</v>
      </c>
      <c r="AI13" s="2">
        <v>0</v>
      </c>
      <c r="AJ13" s="2">
        <v>0</v>
      </c>
      <c r="AK13">
        <v>335878</v>
      </c>
      <c r="AL13" s="39">
        <v>2</v>
      </c>
    </row>
    <row r="14" spans="1:38" hidden="1" x14ac:dyDescent="0.2">
      <c r="A14" t="s">
        <v>90</v>
      </c>
      <c r="B14" t="s">
        <v>112</v>
      </c>
      <c r="C14" t="s">
        <v>113</v>
      </c>
      <c r="D14" t="s">
        <v>114</v>
      </c>
      <c r="E14" s="2">
        <v>256.90217391304299</v>
      </c>
      <c r="F14" s="2">
        <v>8.5470652173912995</v>
      </c>
      <c r="G14" s="39"/>
      <c r="H14" s="2">
        <v>1.99618362597842</v>
      </c>
      <c r="I14" s="2">
        <v>2.7727173913043401</v>
      </c>
      <c r="J14" s="2">
        <v>0.64757351385656803</v>
      </c>
      <c r="K14" s="2">
        <v>0</v>
      </c>
      <c r="L14" s="2">
        <v>6.5217391304347796</v>
      </c>
      <c r="M14" s="2">
        <v>0</v>
      </c>
      <c r="N14" s="2">
        <v>2.2472826086956501</v>
      </c>
      <c r="O14" s="2">
        <v>5.1277173913043397</v>
      </c>
      <c r="P14" s="2">
        <v>8.3913043478260807</v>
      </c>
      <c r="Q14" s="2">
        <v>8.0869565217391308</v>
      </c>
      <c r="R14" s="2">
        <v>3.8485297228686202</v>
      </c>
      <c r="S14" s="2">
        <v>0</v>
      </c>
      <c r="T14" s="2">
        <v>27.145760869565201</v>
      </c>
      <c r="U14" s="2">
        <v>6.3399449968267296</v>
      </c>
      <c r="V14" s="2">
        <v>21.8778260869565</v>
      </c>
      <c r="W14" s="2">
        <v>0</v>
      </c>
      <c r="X14" s="2">
        <v>0</v>
      </c>
      <c r="Y14" s="2">
        <v>5.1096086312671796</v>
      </c>
      <c r="Z14" s="2">
        <v>5.5217391304347796</v>
      </c>
      <c r="AA14" s="2">
        <v>12.6258695652173</v>
      </c>
      <c r="AB14" s="2">
        <v>0</v>
      </c>
      <c r="AC14" s="2">
        <v>4.2384091389887804</v>
      </c>
      <c r="AD14" s="2">
        <v>0</v>
      </c>
      <c r="AE14" s="2">
        <v>0</v>
      </c>
      <c r="AF14" s="2">
        <v>4.7282608695652097</v>
      </c>
      <c r="AG14" s="2">
        <v>0</v>
      </c>
      <c r="AH14" s="2">
        <v>0</v>
      </c>
      <c r="AI14" s="2">
        <v>0</v>
      </c>
      <c r="AJ14" s="2">
        <v>2.50543478260869</v>
      </c>
      <c r="AK14">
        <v>335405</v>
      </c>
      <c r="AL14" s="39">
        <v>2</v>
      </c>
    </row>
    <row r="15" spans="1:38" x14ac:dyDescent="0.2">
      <c r="A15" t="s">
        <v>90</v>
      </c>
      <c r="B15" t="s">
        <v>115</v>
      </c>
      <c r="C15" t="s">
        <v>116</v>
      </c>
      <c r="D15" t="s">
        <v>114</v>
      </c>
      <c r="E15" s="2">
        <v>150.945652173913</v>
      </c>
      <c r="F15" s="2">
        <v>10.173913043478199</v>
      </c>
      <c r="G15" s="39"/>
      <c r="H15" s="2">
        <v>4.0440699935191198</v>
      </c>
      <c r="I15" s="2">
        <v>0</v>
      </c>
      <c r="J15" s="2">
        <v>0</v>
      </c>
      <c r="K15" s="2">
        <v>0</v>
      </c>
      <c r="L15" s="2">
        <v>9.4782608695652097</v>
      </c>
      <c r="M15" s="2">
        <v>0</v>
      </c>
      <c r="N15" s="2">
        <v>0</v>
      </c>
      <c r="O15" s="2">
        <v>5.4266304347826004</v>
      </c>
      <c r="P15" s="2">
        <v>13.3396739130434</v>
      </c>
      <c r="Q15" s="2">
        <v>0</v>
      </c>
      <c r="R15" s="2">
        <v>5.30244113199395</v>
      </c>
      <c r="S15" s="2">
        <v>0</v>
      </c>
      <c r="T15" s="2">
        <v>0</v>
      </c>
      <c r="U15" s="2">
        <v>0</v>
      </c>
      <c r="V15" s="2">
        <v>10.201086956521699</v>
      </c>
      <c r="W15" s="2">
        <v>25.880434782608599</v>
      </c>
      <c r="X15" s="2">
        <v>0</v>
      </c>
      <c r="Y15" s="2">
        <v>14.342190537913099</v>
      </c>
      <c r="Z15" s="2">
        <v>12.8967391304347</v>
      </c>
      <c r="AA15" s="2">
        <v>20.3967391304347</v>
      </c>
      <c r="AB15" s="2">
        <v>0</v>
      </c>
      <c r="AC15" s="2">
        <v>13.2339598185353</v>
      </c>
      <c r="AD15" s="2">
        <v>0</v>
      </c>
      <c r="AE15" s="2">
        <v>24.1168478260869</v>
      </c>
      <c r="AF15" s="2">
        <v>0</v>
      </c>
      <c r="AG15" s="2">
        <v>0</v>
      </c>
      <c r="AH15" s="2">
        <v>0</v>
      </c>
      <c r="AI15" s="2">
        <v>0</v>
      </c>
      <c r="AJ15" s="2">
        <v>0</v>
      </c>
      <c r="AK15">
        <v>335750</v>
      </c>
      <c r="AL15" s="39">
        <v>2</v>
      </c>
    </row>
    <row r="16" spans="1:38" hidden="1" x14ac:dyDescent="0.2">
      <c r="A16" t="s">
        <v>90</v>
      </c>
      <c r="B16" t="s">
        <v>117</v>
      </c>
      <c r="C16" t="s">
        <v>118</v>
      </c>
      <c r="D16" t="s">
        <v>119</v>
      </c>
      <c r="E16" s="2">
        <v>167.695652173913</v>
      </c>
      <c r="F16" s="2">
        <v>4.0190217391304301</v>
      </c>
      <c r="G16" s="39"/>
      <c r="H16" s="2">
        <v>1.4379699248120299</v>
      </c>
      <c r="I16" s="2">
        <v>3.5869565217391299</v>
      </c>
      <c r="J16" s="2">
        <v>1.2833808659579899</v>
      </c>
      <c r="K16" s="2">
        <v>0</v>
      </c>
      <c r="L16" s="2">
        <v>0</v>
      </c>
      <c r="M16" s="2">
        <v>0</v>
      </c>
      <c r="N16" s="2">
        <v>0</v>
      </c>
      <c r="O16" s="2">
        <v>11.695652173913</v>
      </c>
      <c r="P16" s="2">
        <v>4.5706521739130404</v>
      </c>
      <c r="Q16" s="2">
        <v>9.8125</v>
      </c>
      <c r="R16" s="2">
        <v>5.1461628208452099</v>
      </c>
      <c r="S16" s="2">
        <v>4.5706521739130404</v>
      </c>
      <c r="T16" s="2">
        <v>18.635869565217298</v>
      </c>
      <c r="U16" s="2">
        <v>8.30308529945553</v>
      </c>
      <c r="V16" s="2">
        <v>16.201086956521699</v>
      </c>
      <c r="W16" s="2">
        <v>22.823369565217298</v>
      </c>
      <c r="X16" s="2">
        <v>0</v>
      </c>
      <c r="Y16" s="2">
        <v>13.962600466683901</v>
      </c>
      <c r="Z16" s="2">
        <v>23.9130434782608</v>
      </c>
      <c r="AA16" s="2">
        <v>16.557065217391301</v>
      </c>
      <c r="AB16" s="2">
        <v>0</v>
      </c>
      <c r="AC16" s="2">
        <v>14.4798418459942</v>
      </c>
      <c r="AD16" s="2">
        <v>0</v>
      </c>
      <c r="AE16" s="2">
        <v>0</v>
      </c>
      <c r="AF16" s="2">
        <v>0</v>
      </c>
      <c r="AG16" s="2">
        <v>0</v>
      </c>
      <c r="AH16" s="2">
        <v>50.972826086956502</v>
      </c>
      <c r="AI16" s="2">
        <v>0</v>
      </c>
      <c r="AJ16" s="2">
        <v>2.8695652173913002</v>
      </c>
      <c r="AK16">
        <v>335734</v>
      </c>
      <c r="AL16" s="39">
        <v>2</v>
      </c>
    </row>
    <row r="17" spans="1:38" x14ac:dyDescent="0.2">
      <c r="A17" t="s">
        <v>90</v>
      </c>
      <c r="B17" t="s">
        <v>120</v>
      </c>
      <c r="C17" t="s">
        <v>121</v>
      </c>
      <c r="D17" t="s">
        <v>42</v>
      </c>
      <c r="E17" s="2">
        <v>111.152173913043</v>
      </c>
      <c r="F17" s="2">
        <v>4.6358695652173898</v>
      </c>
      <c r="G17" s="39"/>
      <c r="H17" s="2">
        <v>2.5024447486798298</v>
      </c>
      <c r="I17" s="2">
        <v>0</v>
      </c>
      <c r="J17" s="2">
        <v>0</v>
      </c>
      <c r="K17" s="2">
        <v>0</v>
      </c>
      <c r="L17" s="2">
        <v>3.4021739130434701</v>
      </c>
      <c r="M17" s="2">
        <v>0</v>
      </c>
      <c r="N17" s="2">
        <v>0</v>
      </c>
      <c r="O17" s="2">
        <v>0.53804347826086896</v>
      </c>
      <c r="P17" s="2">
        <v>7.7706521739130396</v>
      </c>
      <c r="Q17" s="2">
        <v>0</v>
      </c>
      <c r="R17" s="2">
        <v>4.1946019949149198</v>
      </c>
      <c r="S17" s="2">
        <v>9.8315217391304301</v>
      </c>
      <c r="T17" s="2">
        <v>7.1532608695652096</v>
      </c>
      <c r="U17" s="2">
        <v>9.1683942890670806</v>
      </c>
      <c r="V17" s="2">
        <v>5.8978260869565204</v>
      </c>
      <c r="W17" s="2">
        <v>9.125</v>
      </c>
      <c r="X17" s="2">
        <v>0</v>
      </c>
      <c r="Y17" s="2">
        <v>8.1093291609622504</v>
      </c>
      <c r="Z17" s="2">
        <v>16.188043478260798</v>
      </c>
      <c r="AA17" s="2">
        <v>2.10760869565217</v>
      </c>
      <c r="AB17" s="2">
        <v>0</v>
      </c>
      <c r="AC17" s="2">
        <v>9.8760023469587299</v>
      </c>
      <c r="AD17" s="2">
        <v>0</v>
      </c>
      <c r="AE17" s="2">
        <v>0</v>
      </c>
      <c r="AF17" s="2">
        <v>0</v>
      </c>
      <c r="AG17" s="2">
        <v>0</v>
      </c>
      <c r="AH17" s="2">
        <v>0</v>
      </c>
      <c r="AI17" s="2">
        <v>0</v>
      </c>
      <c r="AJ17" s="2">
        <v>0</v>
      </c>
      <c r="AK17">
        <v>335766</v>
      </c>
      <c r="AL17" s="39">
        <v>2</v>
      </c>
    </row>
    <row r="18" spans="1:38" hidden="1" x14ac:dyDescent="0.2">
      <c r="A18" t="s">
        <v>90</v>
      </c>
      <c r="B18" t="s">
        <v>122</v>
      </c>
      <c r="C18" t="s">
        <v>66</v>
      </c>
      <c r="D18" t="s">
        <v>45</v>
      </c>
      <c r="E18" s="2">
        <v>34.836956521739097</v>
      </c>
      <c r="F18" s="2">
        <v>4.7282608695652097</v>
      </c>
      <c r="G18" s="39"/>
      <c r="H18" s="2">
        <v>8.1435257410296398</v>
      </c>
      <c r="I18" s="2">
        <v>0.91304347826086896</v>
      </c>
      <c r="J18" s="2">
        <v>1.5725429017160599</v>
      </c>
      <c r="K18" s="2">
        <v>0</v>
      </c>
      <c r="L18" s="2">
        <v>1.7356521739130399</v>
      </c>
      <c r="M18" s="2">
        <v>0</v>
      </c>
      <c r="N18" s="2">
        <v>0</v>
      </c>
      <c r="O18" s="2">
        <v>0.51326086956521699</v>
      </c>
      <c r="P18" s="2">
        <v>3.3903260869565202</v>
      </c>
      <c r="Q18" s="2">
        <v>0</v>
      </c>
      <c r="R18" s="2">
        <v>5.8391887675507004</v>
      </c>
      <c r="S18" s="2">
        <v>8.9754347826086907</v>
      </c>
      <c r="T18" s="2">
        <v>0</v>
      </c>
      <c r="U18" s="2">
        <v>15.4584711388455</v>
      </c>
      <c r="V18" s="2">
        <v>5.4113043478260803</v>
      </c>
      <c r="W18" s="2">
        <v>2.4550000000000001</v>
      </c>
      <c r="X18" s="2">
        <v>0.75043478260869501</v>
      </c>
      <c r="Y18" s="2">
        <v>14.840686427457101</v>
      </c>
      <c r="Z18" s="2">
        <v>9.2577173913043396</v>
      </c>
      <c r="AA18" s="2">
        <v>0</v>
      </c>
      <c r="AB18" s="2">
        <v>0</v>
      </c>
      <c r="AC18" s="2">
        <v>15.9446489859594</v>
      </c>
      <c r="AD18" s="2">
        <v>0</v>
      </c>
      <c r="AE18" s="2">
        <v>10.4628260869565</v>
      </c>
      <c r="AF18" s="2">
        <v>3.6521739130434701</v>
      </c>
      <c r="AG18" s="2">
        <v>0</v>
      </c>
      <c r="AH18" s="2">
        <v>0</v>
      </c>
      <c r="AI18" s="2">
        <v>0</v>
      </c>
      <c r="AJ18" s="2">
        <v>0</v>
      </c>
      <c r="AK18">
        <v>335802</v>
      </c>
      <c r="AL18" s="39">
        <v>2</v>
      </c>
    </row>
    <row r="19" spans="1:38" hidden="1" x14ac:dyDescent="0.2">
      <c r="A19" t="s">
        <v>90</v>
      </c>
      <c r="B19" t="s">
        <v>123</v>
      </c>
      <c r="C19" t="s">
        <v>98</v>
      </c>
      <c r="D19" t="s">
        <v>94</v>
      </c>
      <c r="E19" s="2">
        <v>180.13043478260801</v>
      </c>
      <c r="F19" s="2">
        <v>5.2173913043478199</v>
      </c>
      <c r="G19" s="39"/>
      <c r="H19" s="2">
        <v>1.7378711078928299</v>
      </c>
      <c r="I19" s="2">
        <v>0.84782608695652095</v>
      </c>
      <c r="J19" s="2">
        <v>0.28240405503258498</v>
      </c>
      <c r="K19" s="2">
        <v>0</v>
      </c>
      <c r="L19" s="2">
        <v>4.4021739130434696</v>
      </c>
      <c r="M19" s="2">
        <v>0</v>
      </c>
      <c r="N19" s="2">
        <v>0</v>
      </c>
      <c r="O19" s="2">
        <v>5.4157608695652097</v>
      </c>
      <c r="P19" s="2">
        <v>5.2173913043478199</v>
      </c>
      <c r="Q19" s="2">
        <v>0</v>
      </c>
      <c r="R19" s="2">
        <v>1.7378711078928299</v>
      </c>
      <c r="S19" s="2">
        <v>0</v>
      </c>
      <c r="T19" s="2">
        <v>22.559782608695599</v>
      </c>
      <c r="U19" s="2">
        <v>7.5144822592324401</v>
      </c>
      <c r="V19" s="2">
        <v>15.8641304347826</v>
      </c>
      <c r="W19" s="2">
        <v>14.399456521739101</v>
      </c>
      <c r="X19" s="2">
        <v>0</v>
      </c>
      <c r="Y19" s="2">
        <v>10.080557566980399</v>
      </c>
      <c r="Z19" s="2">
        <v>22.633152173913</v>
      </c>
      <c r="AA19" s="2">
        <v>11.961956521739101</v>
      </c>
      <c r="AB19" s="2">
        <v>0</v>
      </c>
      <c r="AC19" s="2">
        <v>11.5233526430123</v>
      </c>
      <c r="AD19" s="2">
        <v>0</v>
      </c>
      <c r="AE19" s="2">
        <v>4.3206521739130404</v>
      </c>
      <c r="AF19" s="2">
        <v>0</v>
      </c>
      <c r="AG19" s="2">
        <v>0</v>
      </c>
      <c r="AH19" s="2">
        <v>1.0570652173913</v>
      </c>
      <c r="AI19" s="2">
        <v>0</v>
      </c>
      <c r="AJ19" s="2">
        <v>0</v>
      </c>
      <c r="AK19">
        <v>335611</v>
      </c>
      <c r="AL19" s="39">
        <v>2</v>
      </c>
    </row>
    <row r="20" spans="1:38" hidden="1" x14ac:dyDescent="0.2">
      <c r="A20" t="s">
        <v>90</v>
      </c>
      <c r="B20" t="s">
        <v>124</v>
      </c>
      <c r="C20" t="s">
        <v>73</v>
      </c>
      <c r="D20" t="s">
        <v>125</v>
      </c>
      <c r="E20" s="2">
        <v>250.84782608695599</v>
      </c>
      <c r="F20" s="2">
        <v>4.3478260869565197</v>
      </c>
      <c r="G20" s="39"/>
      <c r="H20" s="2">
        <v>1.03995146893145</v>
      </c>
      <c r="I20" s="2">
        <v>1.2173913043478199</v>
      </c>
      <c r="J20" s="2">
        <v>0.29118641130080503</v>
      </c>
      <c r="K20" s="2">
        <v>0</v>
      </c>
      <c r="L20" s="2">
        <v>9.3913043478260807</v>
      </c>
      <c r="M20" s="2">
        <v>0</v>
      </c>
      <c r="N20" s="2">
        <v>0</v>
      </c>
      <c r="O20" s="2">
        <v>8.5218478260869492</v>
      </c>
      <c r="P20" s="2">
        <v>0</v>
      </c>
      <c r="Q20" s="2">
        <v>19.995434782608601</v>
      </c>
      <c r="R20" s="2">
        <v>4.7826848080422897</v>
      </c>
      <c r="S20" s="2">
        <v>5.3043478260869499</v>
      </c>
      <c r="T20" s="2">
        <v>24.960760869565199</v>
      </c>
      <c r="U20" s="2">
        <v>7.2390761764450904</v>
      </c>
      <c r="V20" s="2">
        <v>10.4918478260869</v>
      </c>
      <c r="W20" s="2">
        <v>24.558043478260799</v>
      </c>
      <c r="X20" s="2">
        <v>0</v>
      </c>
      <c r="Y20" s="2">
        <v>8.3835427680041494</v>
      </c>
      <c r="Z20" s="2">
        <v>26.836956521739101</v>
      </c>
      <c r="AA20" s="2">
        <v>12.488913043478201</v>
      </c>
      <c r="AB20" s="2">
        <v>0</v>
      </c>
      <c r="AC20" s="2">
        <v>9.4063090389115107</v>
      </c>
      <c r="AD20" s="2">
        <v>0</v>
      </c>
      <c r="AE20" s="2">
        <v>4.7803260869565198</v>
      </c>
      <c r="AF20" s="2">
        <v>1.0434782608695601</v>
      </c>
      <c r="AG20" s="2">
        <v>0</v>
      </c>
      <c r="AH20" s="2">
        <v>0</v>
      </c>
      <c r="AI20" s="2">
        <v>0</v>
      </c>
      <c r="AJ20" s="2">
        <v>4.1086956521739104</v>
      </c>
      <c r="AK20">
        <v>335451</v>
      </c>
      <c r="AL20" s="39">
        <v>2</v>
      </c>
    </row>
    <row r="21" spans="1:38" x14ac:dyDescent="0.2">
      <c r="A21" t="s">
        <v>90</v>
      </c>
      <c r="B21" t="s">
        <v>126</v>
      </c>
      <c r="C21" t="s">
        <v>127</v>
      </c>
      <c r="D21" t="s">
        <v>40</v>
      </c>
      <c r="E21" s="2">
        <v>112.282608695652</v>
      </c>
      <c r="F21" s="2">
        <v>4.6956521739130404</v>
      </c>
      <c r="G21" s="39"/>
      <c r="H21" s="2">
        <v>2.5091965150048399</v>
      </c>
      <c r="I21" s="2">
        <v>0</v>
      </c>
      <c r="J21" s="2">
        <v>0</v>
      </c>
      <c r="K21" s="2">
        <v>0.57065217391304301</v>
      </c>
      <c r="L21" s="2">
        <v>4.8722826086956497</v>
      </c>
      <c r="M21" s="2">
        <v>0</v>
      </c>
      <c r="N21" s="2">
        <v>0</v>
      </c>
      <c r="O21" s="2">
        <v>5.0244565217391299</v>
      </c>
      <c r="P21" s="2">
        <v>0</v>
      </c>
      <c r="Q21" s="2">
        <v>7.9293478260869499</v>
      </c>
      <c r="R21" s="2">
        <v>4.2371732817037699</v>
      </c>
      <c r="S21" s="2">
        <v>0</v>
      </c>
      <c r="T21" s="2">
        <v>24.323369565217298</v>
      </c>
      <c r="U21" s="2">
        <v>12.997579864472399</v>
      </c>
      <c r="V21" s="2">
        <v>4.8451086956521703</v>
      </c>
      <c r="W21" s="2">
        <v>10.75</v>
      </c>
      <c r="X21" s="2">
        <v>0</v>
      </c>
      <c r="Y21" s="2">
        <v>8.3334946757018393</v>
      </c>
      <c r="Z21" s="2">
        <v>11.7690217391304</v>
      </c>
      <c r="AA21" s="2">
        <v>16.1168478260869</v>
      </c>
      <c r="AB21" s="2">
        <v>0</v>
      </c>
      <c r="AC21" s="2">
        <v>14.9012584704743</v>
      </c>
      <c r="AD21" s="2">
        <v>0</v>
      </c>
      <c r="AE21" s="2">
        <v>0</v>
      </c>
      <c r="AF21" s="2">
        <v>0</v>
      </c>
      <c r="AG21" s="2">
        <v>0</v>
      </c>
      <c r="AH21" s="2">
        <v>0</v>
      </c>
      <c r="AI21" s="2">
        <v>0</v>
      </c>
      <c r="AJ21" s="2">
        <v>0</v>
      </c>
      <c r="AK21">
        <v>335574</v>
      </c>
      <c r="AL21" s="39">
        <v>2</v>
      </c>
    </row>
    <row r="22" spans="1:38" x14ac:dyDescent="0.2">
      <c r="A22" t="s">
        <v>90</v>
      </c>
      <c r="B22" t="s">
        <v>128</v>
      </c>
      <c r="C22" t="s">
        <v>129</v>
      </c>
      <c r="D22" t="s">
        <v>119</v>
      </c>
      <c r="E22" s="2">
        <v>19.597826086956498</v>
      </c>
      <c r="F22" s="2">
        <v>0</v>
      </c>
      <c r="G22" s="39"/>
      <c r="H22" s="2">
        <v>0</v>
      </c>
      <c r="I22" s="2">
        <v>0</v>
      </c>
      <c r="J22" s="2">
        <v>0</v>
      </c>
      <c r="K22" s="2">
        <v>0</v>
      </c>
      <c r="L22" s="2">
        <v>3.6630434782608599</v>
      </c>
      <c r="M22" s="2">
        <v>0</v>
      </c>
      <c r="N22" s="2">
        <v>0</v>
      </c>
      <c r="O22" s="2">
        <v>0.33967391304347799</v>
      </c>
      <c r="P22" s="2">
        <v>2.8551086956521701</v>
      </c>
      <c r="Q22" s="2">
        <v>0</v>
      </c>
      <c r="R22" s="2">
        <v>8.7410981697171302</v>
      </c>
      <c r="S22" s="2">
        <v>0</v>
      </c>
      <c r="T22" s="2">
        <v>5.0869565217391299</v>
      </c>
      <c r="U22" s="2">
        <v>15.5740432612312</v>
      </c>
      <c r="V22" s="2">
        <v>9.9347826086956506</v>
      </c>
      <c r="W22" s="2">
        <v>7.8913043478260798</v>
      </c>
      <c r="X22" s="2">
        <v>0</v>
      </c>
      <c r="Y22" s="2">
        <v>54.575707154741998</v>
      </c>
      <c r="Z22" s="2">
        <v>18.7904347826086</v>
      </c>
      <c r="AA22" s="2">
        <v>6.4076086956521703</v>
      </c>
      <c r="AB22" s="2">
        <v>0</v>
      </c>
      <c r="AC22" s="2">
        <v>77.145424292845206</v>
      </c>
      <c r="AD22" s="2">
        <v>0</v>
      </c>
      <c r="AE22" s="2">
        <v>5.5815217391304301</v>
      </c>
      <c r="AF22" s="2">
        <v>0</v>
      </c>
      <c r="AG22" s="2">
        <v>0</v>
      </c>
      <c r="AH22" s="2">
        <v>0</v>
      </c>
      <c r="AI22" s="2">
        <v>0</v>
      </c>
      <c r="AJ22" s="2">
        <v>0</v>
      </c>
      <c r="AK22">
        <v>335823</v>
      </c>
      <c r="AL22" s="39">
        <v>2</v>
      </c>
    </row>
    <row r="23" spans="1:38" x14ac:dyDescent="0.2">
      <c r="A23" t="s">
        <v>90</v>
      </c>
      <c r="B23" t="s">
        <v>130</v>
      </c>
      <c r="C23" t="s">
        <v>129</v>
      </c>
      <c r="D23" t="s">
        <v>119</v>
      </c>
      <c r="E23" s="2">
        <v>13.445652173913</v>
      </c>
      <c r="F23" s="2">
        <v>0</v>
      </c>
      <c r="G23" s="39"/>
      <c r="H23" s="2">
        <v>0</v>
      </c>
      <c r="I23" s="2">
        <v>0</v>
      </c>
      <c r="J23" s="2">
        <v>0</v>
      </c>
      <c r="K23" s="2">
        <v>0</v>
      </c>
      <c r="L23" s="2">
        <v>2.1956521739130399</v>
      </c>
      <c r="M23" s="2">
        <v>0</v>
      </c>
      <c r="N23" s="2">
        <v>0</v>
      </c>
      <c r="O23" s="2">
        <v>0.125</v>
      </c>
      <c r="P23" s="2">
        <v>6.8125</v>
      </c>
      <c r="Q23" s="2">
        <v>0</v>
      </c>
      <c r="R23" s="2">
        <v>30.400161681487401</v>
      </c>
      <c r="S23" s="2">
        <v>0</v>
      </c>
      <c r="T23" s="2">
        <v>0</v>
      </c>
      <c r="U23" s="2">
        <v>0</v>
      </c>
      <c r="V23" s="2">
        <v>22.711956521739101</v>
      </c>
      <c r="W23" s="2">
        <v>4.0815217391304301</v>
      </c>
      <c r="X23" s="2">
        <v>0</v>
      </c>
      <c r="Y23" s="2">
        <v>119.563459983831</v>
      </c>
      <c r="Z23" s="2">
        <v>14.453804347826001</v>
      </c>
      <c r="AA23" s="2">
        <v>10.532608695652099</v>
      </c>
      <c r="AB23" s="2">
        <v>0</v>
      </c>
      <c r="AC23" s="2">
        <v>111.499595796281</v>
      </c>
      <c r="AD23" s="2">
        <v>0</v>
      </c>
      <c r="AE23" s="2">
        <v>5.4972826086956497</v>
      </c>
      <c r="AF23" s="2">
        <v>0</v>
      </c>
      <c r="AG23" s="2">
        <v>0</v>
      </c>
      <c r="AH23" s="2">
        <v>0</v>
      </c>
      <c r="AI23" s="2">
        <v>0</v>
      </c>
      <c r="AJ23" s="2">
        <v>0</v>
      </c>
      <c r="AK23">
        <v>335873</v>
      </c>
      <c r="AL23" s="39">
        <v>2</v>
      </c>
    </row>
    <row r="24" spans="1:38" x14ac:dyDescent="0.2">
      <c r="A24" t="s">
        <v>90</v>
      </c>
      <c r="B24" t="s">
        <v>131</v>
      </c>
      <c r="C24" t="s">
        <v>52</v>
      </c>
      <c r="D24" t="s">
        <v>45</v>
      </c>
      <c r="E24" s="2">
        <v>95.815217391304301</v>
      </c>
      <c r="F24" s="2">
        <v>4.6793478260869499</v>
      </c>
      <c r="G24" s="39"/>
      <c r="H24" s="2">
        <v>2.9302325581395299</v>
      </c>
      <c r="I24" s="2">
        <v>0</v>
      </c>
      <c r="J24" s="2">
        <v>0</v>
      </c>
      <c r="K24" s="2">
        <v>0</v>
      </c>
      <c r="L24" s="2">
        <v>5.9793478260869497</v>
      </c>
      <c r="M24" s="2">
        <v>0</v>
      </c>
      <c r="N24" s="2">
        <v>0</v>
      </c>
      <c r="O24" s="2">
        <v>4.0891304347826001</v>
      </c>
      <c r="P24" s="2">
        <v>7.4097826086956502</v>
      </c>
      <c r="Q24" s="2">
        <v>0</v>
      </c>
      <c r="R24" s="2">
        <v>4.64004537719795</v>
      </c>
      <c r="S24" s="2">
        <v>4.3869565217391298</v>
      </c>
      <c r="T24" s="2">
        <v>7.96630434782608</v>
      </c>
      <c r="U24" s="2">
        <v>7.7356778218944902</v>
      </c>
      <c r="V24" s="2">
        <v>4.7586956521739099</v>
      </c>
      <c r="W24" s="2">
        <v>5.6423913043478198</v>
      </c>
      <c r="X24" s="2">
        <v>0</v>
      </c>
      <c r="Y24" s="2">
        <v>6.5132161089052696</v>
      </c>
      <c r="Z24" s="2">
        <v>9.5010869565217408</v>
      </c>
      <c r="AA24" s="2">
        <v>7.3826086956521699</v>
      </c>
      <c r="AB24" s="2">
        <v>0</v>
      </c>
      <c r="AC24" s="2">
        <v>10.572660238230201</v>
      </c>
      <c r="AD24" s="2">
        <v>0</v>
      </c>
      <c r="AE24" s="2">
        <v>0</v>
      </c>
      <c r="AF24" s="2">
        <v>0</v>
      </c>
      <c r="AG24" s="2">
        <v>0</v>
      </c>
      <c r="AH24" s="2">
        <v>0</v>
      </c>
      <c r="AI24" s="2">
        <v>0</v>
      </c>
      <c r="AJ24" s="2">
        <v>0</v>
      </c>
      <c r="AK24">
        <v>335526</v>
      </c>
      <c r="AL24" s="39">
        <v>2</v>
      </c>
    </row>
    <row r="25" spans="1:38" hidden="1" x14ac:dyDescent="0.2">
      <c r="A25" t="s">
        <v>90</v>
      </c>
      <c r="B25" t="s">
        <v>132</v>
      </c>
      <c r="C25" t="s">
        <v>93</v>
      </c>
      <c r="D25" t="s">
        <v>94</v>
      </c>
      <c r="E25" s="2">
        <v>282.52173913043401</v>
      </c>
      <c r="F25" s="2">
        <v>5.3913043478260798</v>
      </c>
      <c r="G25" s="39"/>
      <c r="H25" s="2">
        <v>1.1449676823638</v>
      </c>
      <c r="I25" s="2">
        <v>2.5434782608695601</v>
      </c>
      <c r="J25" s="2">
        <v>0.54016620498614898</v>
      </c>
      <c r="K25" s="2">
        <v>0</v>
      </c>
      <c r="L25" s="2">
        <v>4.9565217391304301</v>
      </c>
      <c r="M25" s="2">
        <v>0</v>
      </c>
      <c r="N25" s="2">
        <v>0</v>
      </c>
      <c r="O25" s="2">
        <v>6.6657608695652097</v>
      </c>
      <c r="P25" s="2">
        <v>6.2010869565217304</v>
      </c>
      <c r="Q25" s="2">
        <v>9.2690217391304301</v>
      </c>
      <c r="R25" s="2">
        <v>3.2854339796860499</v>
      </c>
      <c r="S25" s="2">
        <v>4.5217391304347796</v>
      </c>
      <c r="T25" s="2">
        <v>30.739130434782599</v>
      </c>
      <c r="U25" s="2">
        <v>7.4884579870729402</v>
      </c>
      <c r="V25" s="2">
        <v>3.9673913043478199</v>
      </c>
      <c r="W25" s="2">
        <v>36.475543478260803</v>
      </c>
      <c r="X25" s="2">
        <v>0</v>
      </c>
      <c r="Y25" s="2">
        <v>8.5889889196675799</v>
      </c>
      <c r="Z25" s="2">
        <v>12.6521739130434</v>
      </c>
      <c r="AA25" s="2">
        <v>28.149456521739101</v>
      </c>
      <c r="AB25" s="2">
        <v>0</v>
      </c>
      <c r="AC25" s="2">
        <v>8.6651662049861393</v>
      </c>
      <c r="AD25" s="2">
        <v>0</v>
      </c>
      <c r="AE25" s="2">
        <v>0</v>
      </c>
      <c r="AF25" s="2">
        <v>0</v>
      </c>
      <c r="AG25" s="2">
        <v>0</v>
      </c>
      <c r="AH25" s="2">
        <v>0</v>
      </c>
      <c r="AI25" s="2">
        <v>4.3478260869565202E-2</v>
      </c>
      <c r="AJ25" s="2">
        <v>3.625</v>
      </c>
      <c r="AK25">
        <v>335080</v>
      </c>
      <c r="AL25" s="39">
        <v>2</v>
      </c>
    </row>
    <row r="26" spans="1:38" hidden="1" x14ac:dyDescent="0.2">
      <c r="A26" t="s">
        <v>90</v>
      </c>
      <c r="B26" t="s">
        <v>133</v>
      </c>
      <c r="C26" t="s">
        <v>48</v>
      </c>
      <c r="D26" t="s">
        <v>125</v>
      </c>
      <c r="E26" s="2">
        <v>95.130434782608702</v>
      </c>
      <c r="F26" s="2">
        <v>5.7255434782608603</v>
      </c>
      <c r="G26" s="39"/>
      <c r="H26" s="2">
        <v>3.6111745886654401</v>
      </c>
      <c r="I26" s="2">
        <v>1.1847826086956501</v>
      </c>
      <c r="J26" s="2">
        <v>0.74725776965265001</v>
      </c>
      <c r="K26" s="2">
        <v>0.63858695652173902</v>
      </c>
      <c r="L26" s="2">
        <v>4.6358695652173898</v>
      </c>
      <c r="M26" s="2">
        <v>0</v>
      </c>
      <c r="N26" s="2">
        <v>0</v>
      </c>
      <c r="O26" s="2">
        <v>4.9483695652173898</v>
      </c>
      <c r="P26" s="2">
        <v>4.5706521739130404</v>
      </c>
      <c r="Q26" s="2">
        <v>0</v>
      </c>
      <c r="R26" s="2">
        <v>2.8827696526508202</v>
      </c>
      <c r="S26" s="2">
        <v>16.785326086956498</v>
      </c>
      <c r="T26" s="2">
        <v>0</v>
      </c>
      <c r="U26" s="2">
        <v>10.5867230347349</v>
      </c>
      <c r="V26" s="2">
        <v>1.2364130434782601</v>
      </c>
      <c r="W26" s="2">
        <v>2.6739130434782599</v>
      </c>
      <c r="X26" s="2">
        <v>3.8070652173913002</v>
      </c>
      <c r="Y26" s="2">
        <v>4.8674588665447898</v>
      </c>
      <c r="Z26" s="2">
        <v>6.3016304347826004</v>
      </c>
      <c r="AA26" s="2">
        <v>4.1005434782608603</v>
      </c>
      <c r="AB26" s="2">
        <v>0</v>
      </c>
      <c r="AC26" s="2">
        <v>6.5607861060329</v>
      </c>
      <c r="AD26" s="2">
        <v>0</v>
      </c>
      <c r="AE26" s="2">
        <v>4.5597826086956497</v>
      </c>
      <c r="AF26" s="2">
        <v>0</v>
      </c>
      <c r="AG26" s="2">
        <v>0</v>
      </c>
      <c r="AH26" s="2">
        <v>0</v>
      </c>
      <c r="AI26" s="2">
        <v>0</v>
      </c>
      <c r="AJ26" s="2">
        <v>0</v>
      </c>
      <c r="AK26">
        <v>335399</v>
      </c>
      <c r="AL26" s="39">
        <v>2</v>
      </c>
    </row>
    <row r="27" spans="1:38" hidden="1" x14ac:dyDescent="0.2">
      <c r="A27" t="s">
        <v>90</v>
      </c>
      <c r="B27" t="s">
        <v>134</v>
      </c>
      <c r="C27" t="s">
        <v>135</v>
      </c>
      <c r="D27" t="s">
        <v>94</v>
      </c>
      <c r="E27" s="2">
        <v>22.141304347826001</v>
      </c>
      <c r="F27" s="2">
        <v>5.3043478260869499</v>
      </c>
      <c r="G27" s="39"/>
      <c r="H27" s="2">
        <v>14.374079528718701</v>
      </c>
      <c r="I27" s="2">
        <v>0.56521739130434701</v>
      </c>
      <c r="J27" s="2">
        <v>1.53166421207658</v>
      </c>
      <c r="K27" s="2">
        <v>0.309782608695652</v>
      </c>
      <c r="L27" s="2">
        <v>2.7391304347826</v>
      </c>
      <c r="M27" s="2">
        <v>0</v>
      </c>
      <c r="N27" s="2">
        <v>0</v>
      </c>
      <c r="O27" s="2">
        <v>0.65271739130434703</v>
      </c>
      <c r="P27" s="2">
        <v>4.9456521739130404</v>
      </c>
      <c r="Q27" s="2">
        <v>0</v>
      </c>
      <c r="R27" s="2">
        <v>13.4020618556701</v>
      </c>
      <c r="S27" s="2">
        <v>5.2173913043478199</v>
      </c>
      <c r="T27" s="2">
        <v>5.0747826086956502</v>
      </c>
      <c r="U27" s="2">
        <v>27.8904270986745</v>
      </c>
      <c r="V27" s="2">
        <v>2.0083695652173899</v>
      </c>
      <c r="W27" s="2">
        <v>7.6564130434782598</v>
      </c>
      <c r="X27" s="2">
        <v>0</v>
      </c>
      <c r="Y27" s="2">
        <v>26.190279823269499</v>
      </c>
      <c r="Z27" s="2">
        <v>10.478369565217299</v>
      </c>
      <c r="AA27" s="2">
        <v>6.00826086956521</v>
      </c>
      <c r="AB27" s="2">
        <v>0</v>
      </c>
      <c r="AC27" s="2">
        <v>44.676583210603802</v>
      </c>
      <c r="AD27" s="2">
        <v>0</v>
      </c>
      <c r="AE27" s="2">
        <v>0</v>
      </c>
      <c r="AF27" s="2">
        <v>0</v>
      </c>
      <c r="AG27" s="2">
        <v>0</v>
      </c>
      <c r="AH27" s="2">
        <v>0</v>
      </c>
      <c r="AI27" s="2">
        <v>0</v>
      </c>
      <c r="AJ27" s="2">
        <v>0</v>
      </c>
      <c r="AK27">
        <v>335848</v>
      </c>
      <c r="AL27" s="39">
        <v>2</v>
      </c>
    </row>
    <row r="28" spans="1:38" hidden="1" x14ac:dyDescent="0.2">
      <c r="A28" t="s">
        <v>90</v>
      </c>
      <c r="B28" t="s">
        <v>136</v>
      </c>
      <c r="C28" t="s">
        <v>137</v>
      </c>
      <c r="D28" t="s">
        <v>94</v>
      </c>
      <c r="E28" s="2">
        <v>69.597826086956502</v>
      </c>
      <c r="F28" s="2">
        <v>5.7391304347826004</v>
      </c>
      <c r="G28" s="39"/>
      <c r="H28" s="2">
        <v>4.9476807746368801</v>
      </c>
      <c r="I28" s="2">
        <v>0.39673913043478198</v>
      </c>
      <c r="J28" s="2">
        <v>0.34202717476182998</v>
      </c>
      <c r="K28" s="2">
        <v>0.69858695652173897</v>
      </c>
      <c r="L28" s="2">
        <v>5.2201086956521703</v>
      </c>
      <c r="M28" s="2">
        <v>0</v>
      </c>
      <c r="N28" s="2">
        <v>0</v>
      </c>
      <c r="O28" s="2">
        <v>5.4293478260869499</v>
      </c>
      <c r="P28" s="2">
        <v>5.0570652173913002</v>
      </c>
      <c r="Q28" s="2">
        <v>0</v>
      </c>
      <c r="R28" s="2">
        <v>4.35967515227237</v>
      </c>
      <c r="S28" s="2">
        <v>0</v>
      </c>
      <c r="T28" s="2">
        <v>34.8125</v>
      </c>
      <c r="U28" s="2">
        <v>30.0117132594096</v>
      </c>
      <c r="V28" s="2">
        <v>11.336956521739101</v>
      </c>
      <c r="W28" s="2">
        <v>7.2038043478260798</v>
      </c>
      <c r="X28" s="2">
        <v>0</v>
      </c>
      <c r="Y28" s="2">
        <v>15.9839137904107</v>
      </c>
      <c r="Z28" s="2">
        <v>14.934782608695601</v>
      </c>
      <c r="AA28" s="2">
        <v>10.043478260869501</v>
      </c>
      <c r="AB28" s="2">
        <v>0</v>
      </c>
      <c r="AC28" s="2">
        <v>21.533656098703698</v>
      </c>
      <c r="AD28" s="2">
        <v>0</v>
      </c>
      <c r="AE28" s="2">
        <v>5.9211956521739104</v>
      </c>
      <c r="AF28" s="2">
        <v>0</v>
      </c>
      <c r="AG28" s="2">
        <v>0</v>
      </c>
      <c r="AH28" s="2">
        <v>0</v>
      </c>
      <c r="AI28" s="2">
        <v>0</v>
      </c>
      <c r="AJ28" s="2">
        <v>0</v>
      </c>
      <c r="AK28">
        <v>335447</v>
      </c>
      <c r="AL28" s="39">
        <v>2</v>
      </c>
    </row>
    <row r="29" spans="1:38" hidden="1" x14ac:dyDescent="0.2">
      <c r="A29" t="s">
        <v>90</v>
      </c>
      <c r="B29" t="s">
        <v>138</v>
      </c>
      <c r="C29" t="s">
        <v>47</v>
      </c>
      <c r="D29" t="s">
        <v>42</v>
      </c>
      <c r="E29" s="2">
        <v>111.45652173913</v>
      </c>
      <c r="F29" s="2">
        <v>4.8695652173913002</v>
      </c>
      <c r="G29" s="39"/>
      <c r="H29" s="2">
        <v>2.6214160327677001</v>
      </c>
      <c r="I29" s="2">
        <v>2.7391304347826</v>
      </c>
      <c r="J29" s="2">
        <v>1.47454651843183</v>
      </c>
      <c r="K29" s="2">
        <v>0</v>
      </c>
      <c r="L29" s="2">
        <v>0.26358695652173902</v>
      </c>
      <c r="M29" s="2">
        <v>0</v>
      </c>
      <c r="N29" s="2">
        <v>0</v>
      </c>
      <c r="O29" s="2">
        <v>5.2092391304347796</v>
      </c>
      <c r="P29" s="2">
        <v>5.3043478260869499</v>
      </c>
      <c r="Q29" s="2">
        <v>4.9809782608695601</v>
      </c>
      <c r="R29" s="2">
        <v>5.5368636629607897</v>
      </c>
      <c r="S29" s="2">
        <v>0</v>
      </c>
      <c r="T29" s="2">
        <v>12.513586956521699</v>
      </c>
      <c r="U29" s="2">
        <v>6.7363955529549404</v>
      </c>
      <c r="V29" s="2">
        <v>9.94293478260869</v>
      </c>
      <c r="W29" s="2">
        <v>0.35869565217391303</v>
      </c>
      <c r="X29" s="2">
        <v>0</v>
      </c>
      <c r="Y29" s="2">
        <v>5.5456407255705003</v>
      </c>
      <c r="Z29" s="2">
        <v>15.0625</v>
      </c>
      <c r="AA29" s="2">
        <v>6.4048913043478199</v>
      </c>
      <c r="AB29" s="2">
        <v>0</v>
      </c>
      <c r="AC29" s="2">
        <v>11.5564657694558</v>
      </c>
      <c r="AD29" s="2">
        <v>0</v>
      </c>
      <c r="AE29" s="2">
        <v>0</v>
      </c>
      <c r="AF29" s="2">
        <v>0</v>
      </c>
      <c r="AG29" s="2">
        <v>0</v>
      </c>
      <c r="AH29" s="2">
        <v>0</v>
      </c>
      <c r="AI29" s="2">
        <v>0</v>
      </c>
      <c r="AJ29" s="2">
        <v>0</v>
      </c>
      <c r="AK29">
        <v>335389</v>
      </c>
      <c r="AL29" s="39">
        <v>2</v>
      </c>
    </row>
    <row r="30" spans="1:38" x14ac:dyDescent="0.2">
      <c r="A30" t="s">
        <v>90</v>
      </c>
      <c r="B30" t="s">
        <v>139</v>
      </c>
      <c r="C30" t="s">
        <v>140</v>
      </c>
      <c r="D30" t="s">
        <v>114</v>
      </c>
      <c r="E30" s="2">
        <v>143.76086956521701</v>
      </c>
      <c r="F30" s="2">
        <v>3.8043478260869499</v>
      </c>
      <c r="G30" s="39"/>
      <c r="H30" s="2">
        <v>1.5877816422198701</v>
      </c>
      <c r="I30" s="2">
        <v>0</v>
      </c>
      <c r="J30" s="2">
        <v>0</v>
      </c>
      <c r="K30" s="2">
        <v>0</v>
      </c>
      <c r="L30" s="2">
        <v>0</v>
      </c>
      <c r="M30" s="2">
        <v>0</v>
      </c>
      <c r="N30" s="2">
        <v>0</v>
      </c>
      <c r="O30" s="2">
        <v>4.0869565217391299</v>
      </c>
      <c r="P30" s="2">
        <v>8.5978260869565197</v>
      </c>
      <c r="Q30" s="2">
        <v>0</v>
      </c>
      <c r="R30" s="2">
        <v>3.5883865114168998</v>
      </c>
      <c r="S30" s="2">
        <v>17.2</v>
      </c>
      <c r="T30" s="2">
        <v>7.3489130434782597</v>
      </c>
      <c r="U30" s="2">
        <v>10.2457281112959</v>
      </c>
      <c r="V30" s="2">
        <v>13.191304347826</v>
      </c>
      <c r="W30" s="2">
        <v>8.8108695652173896</v>
      </c>
      <c r="X30" s="2">
        <v>0</v>
      </c>
      <c r="Y30" s="2">
        <v>9.1828217148041702</v>
      </c>
      <c r="Z30" s="2">
        <v>7.24891304347826</v>
      </c>
      <c r="AA30" s="2">
        <v>0</v>
      </c>
      <c r="AB30" s="2">
        <v>0</v>
      </c>
      <c r="AC30" s="2">
        <v>3.0254045062755099</v>
      </c>
      <c r="AD30" s="2">
        <v>0</v>
      </c>
      <c r="AE30" s="2">
        <v>3.88043478260869</v>
      </c>
      <c r="AF30" s="2">
        <v>0</v>
      </c>
      <c r="AG30" s="2">
        <v>0</v>
      </c>
      <c r="AH30" s="2">
        <v>0</v>
      </c>
      <c r="AI30" s="2">
        <v>0</v>
      </c>
      <c r="AJ30" s="2">
        <v>0</v>
      </c>
      <c r="AK30">
        <v>335810</v>
      </c>
      <c r="AL30" s="39">
        <v>2</v>
      </c>
    </row>
    <row r="31" spans="1:38" x14ac:dyDescent="0.2">
      <c r="A31" t="s">
        <v>90</v>
      </c>
      <c r="B31" t="s">
        <v>141</v>
      </c>
      <c r="C31" t="s">
        <v>75</v>
      </c>
      <c r="D31" t="s">
        <v>94</v>
      </c>
      <c r="E31" s="2">
        <v>192.91304347825999</v>
      </c>
      <c r="F31" s="2">
        <v>5.3913043478260798</v>
      </c>
      <c r="G31" s="39"/>
      <c r="H31" s="2">
        <v>1.6768086544962799</v>
      </c>
      <c r="I31" s="2">
        <v>0</v>
      </c>
      <c r="J31" s="2">
        <v>0</v>
      </c>
      <c r="K31" s="2">
        <v>0</v>
      </c>
      <c r="L31" s="2">
        <v>8.1440217391304301</v>
      </c>
      <c r="M31" s="2">
        <v>0</v>
      </c>
      <c r="N31" s="2">
        <v>5.0434782608695601</v>
      </c>
      <c r="O31" s="2">
        <v>6.1555434782608698</v>
      </c>
      <c r="P31" s="2">
        <v>1.6385869565217299</v>
      </c>
      <c r="Q31" s="2">
        <v>10.695652173913</v>
      </c>
      <c r="R31" s="2">
        <v>3.8362068965517202</v>
      </c>
      <c r="S31" s="2">
        <v>0</v>
      </c>
      <c r="T31" s="2">
        <v>13.2880434782608</v>
      </c>
      <c r="U31" s="2">
        <v>4.1328600405679499</v>
      </c>
      <c r="V31" s="2">
        <v>8.1281521739130405</v>
      </c>
      <c r="W31" s="2">
        <v>11.2801086956521</v>
      </c>
      <c r="X31" s="2">
        <v>0</v>
      </c>
      <c r="Y31" s="2">
        <v>6.0363759296822099</v>
      </c>
      <c r="Z31" s="2">
        <v>22.100869565217302</v>
      </c>
      <c r="AA31" s="2">
        <v>6.0257608695652101</v>
      </c>
      <c r="AB31" s="2">
        <v>0</v>
      </c>
      <c r="AC31" s="2">
        <v>8.7479716024340703</v>
      </c>
      <c r="AD31" s="2">
        <v>0</v>
      </c>
      <c r="AE31" s="2">
        <v>5.2173913043478199</v>
      </c>
      <c r="AF31" s="2">
        <v>0</v>
      </c>
      <c r="AG31" s="2">
        <v>0</v>
      </c>
      <c r="AH31" s="2">
        <v>0.99456521739130399</v>
      </c>
      <c r="AI31" s="2">
        <v>0</v>
      </c>
      <c r="AJ31" s="2">
        <v>0</v>
      </c>
      <c r="AK31">
        <v>335424</v>
      </c>
      <c r="AL31" s="39">
        <v>2</v>
      </c>
    </row>
    <row r="32" spans="1:38" hidden="1" x14ac:dyDescent="0.2">
      <c r="A32" t="s">
        <v>90</v>
      </c>
      <c r="B32" t="s">
        <v>142</v>
      </c>
      <c r="C32" t="s">
        <v>52</v>
      </c>
      <c r="D32" t="s">
        <v>45</v>
      </c>
      <c r="E32" s="2">
        <v>223.358695652173</v>
      </c>
      <c r="F32" s="2">
        <v>9.6521739130434696</v>
      </c>
      <c r="G32" s="39"/>
      <c r="H32" s="2">
        <v>2.5928269015523799</v>
      </c>
      <c r="I32" s="2">
        <v>1.7391304347826</v>
      </c>
      <c r="J32" s="2">
        <v>0.46717601829772698</v>
      </c>
      <c r="K32" s="2">
        <v>1.5489130434782601</v>
      </c>
      <c r="L32" s="2">
        <v>5.0434782608695601</v>
      </c>
      <c r="M32" s="2">
        <v>0</v>
      </c>
      <c r="N32" s="2">
        <v>0</v>
      </c>
      <c r="O32" s="2">
        <v>5.1413043478260798</v>
      </c>
      <c r="P32" s="2">
        <v>18.3505434782608</v>
      </c>
      <c r="Q32" s="2">
        <v>0</v>
      </c>
      <c r="R32" s="2">
        <v>4.92943695556961</v>
      </c>
      <c r="S32" s="2">
        <v>4.9565217391304301</v>
      </c>
      <c r="T32" s="2">
        <v>45.127717391304301</v>
      </c>
      <c r="U32" s="2">
        <v>13.453939364445899</v>
      </c>
      <c r="V32" s="2">
        <v>28.581521739130402</v>
      </c>
      <c r="W32" s="2">
        <v>35.415760869565197</v>
      </c>
      <c r="X32" s="2">
        <v>0</v>
      </c>
      <c r="Y32" s="2">
        <v>17.191347510827701</v>
      </c>
      <c r="Z32" s="2">
        <v>18.4918478260869</v>
      </c>
      <c r="AA32" s="2">
        <v>27.875</v>
      </c>
      <c r="AB32" s="2">
        <v>5.2826086956521703</v>
      </c>
      <c r="AC32" s="2">
        <v>13.874397780913901</v>
      </c>
      <c r="AD32" s="2">
        <v>0</v>
      </c>
      <c r="AE32" s="2">
        <v>0</v>
      </c>
      <c r="AF32" s="2">
        <v>0</v>
      </c>
      <c r="AG32" s="2">
        <v>0</v>
      </c>
      <c r="AH32" s="2">
        <v>6.63043478260869</v>
      </c>
      <c r="AI32" s="2">
        <v>0</v>
      </c>
      <c r="AJ32" s="2">
        <v>3.4565217391304301</v>
      </c>
      <c r="AK32">
        <v>335655</v>
      </c>
      <c r="AL32" s="39">
        <v>2</v>
      </c>
    </row>
    <row r="33" spans="1:38" hidden="1" x14ac:dyDescent="0.2">
      <c r="A33" t="s">
        <v>90</v>
      </c>
      <c r="B33" t="s">
        <v>143</v>
      </c>
      <c r="C33" t="s">
        <v>39</v>
      </c>
      <c r="D33" t="s">
        <v>45</v>
      </c>
      <c r="E33" s="2">
        <v>91.902173913043399</v>
      </c>
      <c r="F33" s="2">
        <v>5.5652173913043397</v>
      </c>
      <c r="G33" s="39"/>
      <c r="H33" s="2">
        <v>3.6333530455351801</v>
      </c>
      <c r="I33" s="2">
        <v>0.70652173913043403</v>
      </c>
      <c r="J33" s="2">
        <v>0.46126552335895898</v>
      </c>
      <c r="K33" s="2">
        <v>0.86684782608695599</v>
      </c>
      <c r="L33" s="2">
        <v>5.1777173913043404</v>
      </c>
      <c r="M33" s="2">
        <v>0</v>
      </c>
      <c r="N33" s="2">
        <v>0</v>
      </c>
      <c r="O33" s="2">
        <v>3.4266304347826</v>
      </c>
      <c r="P33" s="2">
        <v>0.63315217391304301</v>
      </c>
      <c r="Q33" s="2">
        <v>8.7581521739130395</v>
      </c>
      <c r="R33" s="2">
        <v>6.1312832643406203</v>
      </c>
      <c r="S33" s="2">
        <v>5.6032608695652097</v>
      </c>
      <c r="T33" s="2">
        <v>16.529130434782601</v>
      </c>
      <c r="U33" s="2">
        <v>14.449532820816</v>
      </c>
      <c r="V33" s="2">
        <v>4.9432608695652096</v>
      </c>
      <c r="W33" s="2">
        <v>19.880434782608599</v>
      </c>
      <c r="X33" s="2">
        <v>0</v>
      </c>
      <c r="Y33" s="2">
        <v>16.206599645180301</v>
      </c>
      <c r="Z33" s="2">
        <v>15.766304347826001</v>
      </c>
      <c r="AA33" s="2">
        <v>9.7418478260869499</v>
      </c>
      <c r="AB33" s="2">
        <v>0</v>
      </c>
      <c r="AC33" s="2">
        <v>16.6534594914251</v>
      </c>
      <c r="AD33" s="2">
        <v>0</v>
      </c>
      <c r="AE33" s="2">
        <v>0</v>
      </c>
      <c r="AF33" s="2">
        <v>0</v>
      </c>
      <c r="AG33" s="2">
        <v>0</v>
      </c>
      <c r="AH33" s="2">
        <v>5.4510869565217304</v>
      </c>
      <c r="AI33" s="2">
        <v>0</v>
      </c>
      <c r="AJ33" s="2">
        <v>0</v>
      </c>
      <c r="AK33">
        <v>335396</v>
      </c>
      <c r="AL33" s="39">
        <v>2</v>
      </c>
    </row>
    <row r="34" spans="1:38" x14ac:dyDescent="0.2">
      <c r="A34" t="s">
        <v>90</v>
      </c>
      <c r="B34" t="s">
        <v>144</v>
      </c>
      <c r="C34" t="s">
        <v>145</v>
      </c>
      <c r="D34" t="s">
        <v>125</v>
      </c>
      <c r="E34" s="2">
        <v>73.413043478260803</v>
      </c>
      <c r="F34" s="2">
        <v>5.2173913043478199</v>
      </c>
      <c r="G34" s="39"/>
      <c r="H34" s="2">
        <v>4.2641397690257596</v>
      </c>
      <c r="I34" s="2">
        <v>0</v>
      </c>
      <c r="J34" s="2">
        <v>0</v>
      </c>
      <c r="K34" s="2">
        <v>0</v>
      </c>
      <c r="L34" s="2">
        <v>7.1186956521739102</v>
      </c>
      <c r="M34" s="2">
        <v>0</v>
      </c>
      <c r="N34" s="2">
        <v>0</v>
      </c>
      <c r="O34" s="2">
        <v>2.1271739130434701</v>
      </c>
      <c r="P34" s="2">
        <v>1.1956521739130399</v>
      </c>
      <c r="Q34" s="2">
        <v>0</v>
      </c>
      <c r="R34" s="2">
        <v>0.97719869706840401</v>
      </c>
      <c r="S34" s="2">
        <v>0</v>
      </c>
      <c r="T34" s="2">
        <v>6.2445652173913002</v>
      </c>
      <c r="U34" s="2">
        <v>5.1036422860527004</v>
      </c>
      <c r="V34" s="2">
        <v>4.8343478260869501</v>
      </c>
      <c r="W34" s="2">
        <v>11.417717391304301</v>
      </c>
      <c r="X34" s="2">
        <v>0</v>
      </c>
      <c r="Y34" s="2">
        <v>13.282706544270001</v>
      </c>
      <c r="Z34" s="2">
        <v>14.782065217391301</v>
      </c>
      <c r="AA34" s="2">
        <v>9.2532608695652101</v>
      </c>
      <c r="AB34" s="2">
        <v>0</v>
      </c>
      <c r="AC34" s="2">
        <v>19.643914717204598</v>
      </c>
      <c r="AD34" s="2">
        <v>0</v>
      </c>
      <c r="AE34" s="2">
        <v>5.2581521739130404</v>
      </c>
      <c r="AF34" s="2">
        <v>0</v>
      </c>
      <c r="AG34" s="2">
        <v>0</v>
      </c>
      <c r="AH34" s="2">
        <v>0</v>
      </c>
      <c r="AI34" s="2">
        <v>0</v>
      </c>
      <c r="AJ34" s="2">
        <v>0</v>
      </c>
      <c r="AK34">
        <v>335188</v>
      </c>
      <c r="AL34" s="39">
        <v>2</v>
      </c>
    </row>
    <row r="35" spans="1:38" hidden="1" x14ac:dyDescent="0.2">
      <c r="A35" t="s">
        <v>90</v>
      </c>
      <c r="B35" t="s">
        <v>146</v>
      </c>
      <c r="C35" t="s">
        <v>49</v>
      </c>
      <c r="D35" t="s">
        <v>94</v>
      </c>
      <c r="E35" s="2">
        <v>196.65217391304299</v>
      </c>
      <c r="F35" s="2">
        <v>0</v>
      </c>
      <c r="G35" s="39"/>
      <c r="H35" s="2">
        <v>0</v>
      </c>
      <c r="I35" s="2">
        <v>4.6793478260869499</v>
      </c>
      <c r="J35" s="2">
        <v>1.42770285208932</v>
      </c>
      <c r="K35" s="2">
        <v>7.7146739130434696</v>
      </c>
      <c r="L35" s="2">
        <v>13.5978260869565</v>
      </c>
      <c r="M35" s="2">
        <v>0</v>
      </c>
      <c r="N35" s="2">
        <v>9.2771739130434696</v>
      </c>
      <c r="O35" s="2">
        <v>0</v>
      </c>
      <c r="P35" s="2">
        <v>0</v>
      </c>
      <c r="Q35" s="2">
        <v>0</v>
      </c>
      <c r="R35" s="2">
        <v>0</v>
      </c>
      <c r="S35" s="2">
        <v>4.8396739130434696</v>
      </c>
      <c r="T35" s="2">
        <v>4.5570652173913002</v>
      </c>
      <c r="U35" s="2">
        <v>2.8670130444395299</v>
      </c>
      <c r="V35" s="2">
        <v>0</v>
      </c>
      <c r="W35" s="2">
        <v>0</v>
      </c>
      <c r="X35" s="2">
        <v>0</v>
      </c>
      <c r="Y35" s="2">
        <v>0</v>
      </c>
      <c r="Z35" s="2">
        <v>0</v>
      </c>
      <c r="AA35" s="2">
        <v>0</v>
      </c>
      <c r="AB35" s="2">
        <v>0</v>
      </c>
      <c r="AC35" s="2">
        <v>0</v>
      </c>
      <c r="AD35" s="2">
        <v>0</v>
      </c>
      <c r="AE35" s="2">
        <v>28.331521739130402</v>
      </c>
      <c r="AF35" s="2">
        <v>0</v>
      </c>
      <c r="AG35" s="2">
        <v>0</v>
      </c>
      <c r="AH35" s="2">
        <v>0</v>
      </c>
      <c r="AI35" s="2">
        <v>0</v>
      </c>
      <c r="AJ35" s="2">
        <v>0</v>
      </c>
      <c r="AK35">
        <v>335832</v>
      </c>
      <c r="AL35" s="39">
        <v>2</v>
      </c>
    </row>
    <row r="36" spans="1:38" x14ac:dyDescent="0.2">
      <c r="A36" t="s">
        <v>90</v>
      </c>
      <c r="B36" t="s">
        <v>147</v>
      </c>
      <c r="C36" t="s">
        <v>148</v>
      </c>
      <c r="D36" t="s">
        <v>94</v>
      </c>
      <c r="E36" s="2">
        <v>106.75</v>
      </c>
      <c r="F36" s="2">
        <v>8.4782608695652097</v>
      </c>
      <c r="G36" s="39"/>
      <c r="H36" s="2">
        <v>4.7652988494043296</v>
      </c>
      <c r="I36" s="2">
        <v>0</v>
      </c>
      <c r="J36" s="2">
        <v>0</v>
      </c>
      <c r="K36" s="2">
        <v>0</v>
      </c>
      <c r="L36" s="2">
        <v>6.625</v>
      </c>
      <c r="M36" s="2">
        <v>0</v>
      </c>
      <c r="N36" s="2">
        <v>0</v>
      </c>
      <c r="O36" s="2">
        <v>9.9510869565217295</v>
      </c>
      <c r="P36" s="2">
        <v>6.4701086956521703</v>
      </c>
      <c r="Q36" s="2">
        <v>0</v>
      </c>
      <c r="R36" s="2">
        <v>3.6365950514204202</v>
      </c>
      <c r="S36" s="2">
        <v>7.9864130434782599</v>
      </c>
      <c r="T36" s="2">
        <v>38.355978260869499</v>
      </c>
      <c r="U36" s="2">
        <v>26.047245697994001</v>
      </c>
      <c r="V36" s="2">
        <v>19.2092391304347</v>
      </c>
      <c r="W36" s="2">
        <v>23.595108695652101</v>
      </c>
      <c r="X36" s="2">
        <v>0</v>
      </c>
      <c r="Y36" s="2">
        <v>24.0586498319926</v>
      </c>
      <c r="Z36" s="2">
        <v>16.0923913043478</v>
      </c>
      <c r="AA36" s="2">
        <v>19.195652173913</v>
      </c>
      <c r="AB36" s="2">
        <v>0</v>
      </c>
      <c r="AC36" s="2">
        <v>19.834029121270699</v>
      </c>
      <c r="AD36" s="2">
        <v>0</v>
      </c>
      <c r="AE36" s="2">
        <v>0</v>
      </c>
      <c r="AF36" s="2">
        <v>0</v>
      </c>
      <c r="AG36" s="2">
        <v>0</v>
      </c>
      <c r="AH36" s="2">
        <v>7</v>
      </c>
      <c r="AI36" s="2">
        <v>0</v>
      </c>
      <c r="AJ36" s="2">
        <v>0</v>
      </c>
      <c r="AK36">
        <v>335342</v>
      </c>
      <c r="AL36" s="39">
        <v>2</v>
      </c>
    </row>
    <row r="37" spans="1:38" x14ac:dyDescent="0.2">
      <c r="A37" t="s">
        <v>90</v>
      </c>
      <c r="B37" t="s">
        <v>149</v>
      </c>
      <c r="C37" t="s">
        <v>150</v>
      </c>
      <c r="D37" t="s">
        <v>125</v>
      </c>
      <c r="E37" s="2">
        <v>265.07608695652101</v>
      </c>
      <c r="F37" s="2">
        <v>5.5652173913043397</v>
      </c>
      <c r="G37" s="39"/>
      <c r="H37" s="2">
        <v>1.2596875384426101</v>
      </c>
      <c r="I37" s="2">
        <v>0</v>
      </c>
      <c r="J37" s="2">
        <v>0</v>
      </c>
      <c r="K37" s="2">
        <v>0</v>
      </c>
      <c r="L37" s="2">
        <v>19.9673913043478</v>
      </c>
      <c r="M37" s="2">
        <v>0</v>
      </c>
      <c r="N37" s="2">
        <v>0</v>
      </c>
      <c r="O37" s="2">
        <v>18.282608695652101</v>
      </c>
      <c r="P37" s="2">
        <v>39.7336956521739</v>
      </c>
      <c r="Q37" s="2">
        <v>0</v>
      </c>
      <c r="R37" s="2">
        <v>8.9937261655800196</v>
      </c>
      <c r="S37" s="2">
        <v>4.7961956521739104</v>
      </c>
      <c r="T37" s="2">
        <v>296.05250000000001</v>
      </c>
      <c r="U37" s="2">
        <v>68.097133718784605</v>
      </c>
      <c r="V37" s="2">
        <v>14.7255434782608</v>
      </c>
      <c r="W37" s="2">
        <v>10.907608695652099</v>
      </c>
      <c r="X37" s="2">
        <v>3.5298913043478199</v>
      </c>
      <c r="Y37" s="2">
        <v>6.6010579407061103</v>
      </c>
      <c r="Z37" s="2">
        <v>20.622282608695599</v>
      </c>
      <c r="AA37" s="2">
        <v>4.2635869565217304</v>
      </c>
      <c r="AB37" s="2">
        <v>16.581521739130402</v>
      </c>
      <c r="AC37" s="2">
        <v>9.3861483577315692</v>
      </c>
      <c r="AD37" s="2">
        <v>12.540760869565201</v>
      </c>
      <c r="AE37" s="2">
        <v>9.7010869565217295</v>
      </c>
      <c r="AF37" s="2">
        <v>0</v>
      </c>
      <c r="AG37" s="2">
        <v>0</v>
      </c>
      <c r="AH37" s="2">
        <v>58.4375</v>
      </c>
      <c r="AI37" s="2">
        <v>13.8478260869565</v>
      </c>
      <c r="AJ37" s="2">
        <v>2.1914130434782599</v>
      </c>
      <c r="AK37">
        <v>335845</v>
      </c>
      <c r="AL37" s="39">
        <v>2</v>
      </c>
    </row>
    <row r="38" spans="1:38" hidden="1" x14ac:dyDescent="0.2">
      <c r="A38" t="s">
        <v>90</v>
      </c>
      <c r="B38" t="s">
        <v>151</v>
      </c>
      <c r="C38" t="s">
        <v>152</v>
      </c>
      <c r="D38" t="s">
        <v>119</v>
      </c>
      <c r="E38" s="2">
        <v>222.923913043478</v>
      </c>
      <c r="F38" s="2">
        <v>4.8913043478260798</v>
      </c>
      <c r="G38" s="39"/>
      <c r="H38" s="2">
        <v>1.3164951972304799</v>
      </c>
      <c r="I38" s="2">
        <v>0.60869565217391297</v>
      </c>
      <c r="J38" s="2">
        <v>0.16383051343312599</v>
      </c>
      <c r="K38" s="2">
        <v>0</v>
      </c>
      <c r="L38" s="2">
        <v>9.2934782608695592</v>
      </c>
      <c r="M38" s="2">
        <v>0</v>
      </c>
      <c r="N38" s="2">
        <v>0</v>
      </c>
      <c r="O38" s="2">
        <v>5.5133695652173902</v>
      </c>
      <c r="P38" s="2">
        <v>3.1032608695652102</v>
      </c>
      <c r="Q38" s="2">
        <v>9.625</v>
      </c>
      <c r="R38" s="2">
        <v>3.4258130576819901</v>
      </c>
      <c r="S38" s="2">
        <v>0</v>
      </c>
      <c r="T38" s="2">
        <v>3.4402173913043401</v>
      </c>
      <c r="U38" s="2">
        <v>0.92593495538544002</v>
      </c>
      <c r="V38" s="2">
        <v>9.54652173913043</v>
      </c>
      <c r="W38" s="2">
        <v>16.462391304347801</v>
      </c>
      <c r="X38" s="2">
        <v>0</v>
      </c>
      <c r="Y38" s="2">
        <v>7.0003023063045404</v>
      </c>
      <c r="Z38" s="2">
        <v>24.926630434782599</v>
      </c>
      <c r="AA38" s="2">
        <v>8.8960869565217404</v>
      </c>
      <c r="AB38" s="2">
        <v>0</v>
      </c>
      <c r="AC38" s="2">
        <v>9.1033887561558302</v>
      </c>
      <c r="AD38" s="2">
        <v>0</v>
      </c>
      <c r="AE38" s="2">
        <v>10.3478260869565</v>
      </c>
      <c r="AF38" s="2">
        <v>0</v>
      </c>
      <c r="AG38" s="2">
        <v>0</v>
      </c>
      <c r="AH38" s="2">
        <v>38.9375</v>
      </c>
      <c r="AI38" s="2">
        <v>0</v>
      </c>
      <c r="AJ38" s="2">
        <v>0</v>
      </c>
      <c r="AK38">
        <v>335046</v>
      </c>
      <c r="AL38" s="39">
        <v>2</v>
      </c>
    </row>
    <row r="39" spans="1:38" x14ac:dyDescent="0.2">
      <c r="A39" t="s">
        <v>90</v>
      </c>
      <c r="B39" t="s">
        <v>153</v>
      </c>
      <c r="C39" t="s">
        <v>154</v>
      </c>
      <c r="D39" t="s">
        <v>119</v>
      </c>
      <c r="E39" s="2">
        <v>117.326086956521</v>
      </c>
      <c r="F39" s="2">
        <v>4.4375</v>
      </c>
      <c r="G39" s="39"/>
      <c r="H39" s="2">
        <v>2.2693162868260099</v>
      </c>
      <c r="I39" s="2">
        <v>0</v>
      </c>
      <c r="J39" s="2">
        <v>0</v>
      </c>
      <c r="K39" s="2">
        <v>0</v>
      </c>
      <c r="L39" s="2">
        <v>5.0326086956521703</v>
      </c>
      <c r="M39" s="2">
        <v>0</v>
      </c>
      <c r="N39" s="2">
        <v>0</v>
      </c>
      <c r="O39" s="2">
        <v>4.1630434782608603</v>
      </c>
      <c r="P39" s="2">
        <v>4.1847826086956497</v>
      </c>
      <c r="Q39" s="2">
        <v>3.7282608695652102</v>
      </c>
      <c r="R39" s="2">
        <v>4.04669260700389</v>
      </c>
      <c r="S39" s="2">
        <v>0</v>
      </c>
      <c r="T39" s="2">
        <v>6.6739130434782599</v>
      </c>
      <c r="U39" s="2">
        <v>3.4130072262367901</v>
      </c>
      <c r="V39" s="2">
        <v>6.33</v>
      </c>
      <c r="W39" s="2">
        <v>4.7503260869565196</v>
      </c>
      <c r="X39" s="2">
        <v>0</v>
      </c>
      <c r="Y39" s="2">
        <v>5.66642579210672</v>
      </c>
      <c r="Z39" s="2">
        <v>20.903478260869498</v>
      </c>
      <c r="AA39" s="2">
        <v>3.6556521739130399</v>
      </c>
      <c r="AB39" s="2">
        <v>0</v>
      </c>
      <c r="AC39" s="2">
        <v>12.559421901056099</v>
      </c>
      <c r="AD39" s="2">
        <v>0</v>
      </c>
      <c r="AE39" s="2">
        <v>5.8260869565217304</v>
      </c>
      <c r="AF39" s="2">
        <v>0</v>
      </c>
      <c r="AG39" s="2">
        <v>0</v>
      </c>
      <c r="AH39" s="2">
        <v>0</v>
      </c>
      <c r="AI39" s="2">
        <v>0</v>
      </c>
      <c r="AJ39" s="2">
        <v>0</v>
      </c>
      <c r="AK39">
        <v>335380</v>
      </c>
      <c r="AL39" s="39">
        <v>2</v>
      </c>
    </row>
    <row r="40" spans="1:38" x14ac:dyDescent="0.2">
      <c r="A40" t="s">
        <v>90</v>
      </c>
      <c r="B40" t="s">
        <v>155</v>
      </c>
      <c r="C40" t="s">
        <v>156</v>
      </c>
      <c r="D40" t="s">
        <v>119</v>
      </c>
      <c r="E40" s="2">
        <v>175.96739130434699</v>
      </c>
      <c r="F40" s="2">
        <v>4.1847826086956497</v>
      </c>
      <c r="G40" s="39"/>
      <c r="H40" s="2">
        <v>1.42689480511458</v>
      </c>
      <c r="I40" s="2">
        <v>0</v>
      </c>
      <c r="J40" s="2">
        <v>0</v>
      </c>
      <c r="K40" s="2">
        <v>0</v>
      </c>
      <c r="L40" s="2">
        <v>0.15217391304347799</v>
      </c>
      <c r="M40" s="2">
        <v>0</v>
      </c>
      <c r="N40" s="2">
        <v>0</v>
      </c>
      <c r="O40" s="2">
        <v>2.6063043478260801</v>
      </c>
      <c r="P40" s="2">
        <v>4.8097826086956497</v>
      </c>
      <c r="Q40" s="2">
        <v>4.0706521739130404</v>
      </c>
      <c r="R40" s="2">
        <v>3.0279819630613298</v>
      </c>
      <c r="S40" s="2">
        <v>0</v>
      </c>
      <c r="T40" s="2">
        <v>15.845108695652099</v>
      </c>
      <c r="U40" s="2">
        <v>5.4027426030020296</v>
      </c>
      <c r="V40" s="2">
        <v>7.9132608695652102</v>
      </c>
      <c r="W40" s="2">
        <v>17.708913043478201</v>
      </c>
      <c r="X40" s="2">
        <v>0</v>
      </c>
      <c r="Y40" s="2">
        <v>8.7364506763851999</v>
      </c>
      <c r="Z40" s="2">
        <v>17.012717391304299</v>
      </c>
      <c r="AA40" s="2">
        <v>10.9683695652173</v>
      </c>
      <c r="AB40" s="2">
        <v>0</v>
      </c>
      <c r="AC40" s="2">
        <v>9.5407746000370608</v>
      </c>
      <c r="AD40" s="2">
        <v>0</v>
      </c>
      <c r="AE40" s="2">
        <v>4.4021739130434696</v>
      </c>
      <c r="AF40" s="2">
        <v>0</v>
      </c>
      <c r="AG40" s="2">
        <v>0</v>
      </c>
      <c r="AH40" s="2">
        <v>0</v>
      </c>
      <c r="AI40" s="2">
        <v>0</v>
      </c>
      <c r="AJ40" s="2">
        <v>0</v>
      </c>
      <c r="AK40">
        <v>335418</v>
      </c>
      <c r="AL40" s="39">
        <v>2</v>
      </c>
    </row>
    <row r="41" spans="1:38" hidden="1" x14ac:dyDescent="0.2">
      <c r="A41" t="s">
        <v>90</v>
      </c>
      <c r="B41" t="s">
        <v>157</v>
      </c>
      <c r="C41" t="s">
        <v>158</v>
      </c>
      <c r="D41" t="s">
        <v>119</v>
      </c>
      <c r="E41" s="2">
        <v>142.84782608695599</v>
      </c>
      <c r="F41" s="2">
        <v>4.7826086956521703</v>
      </c>
      <c r="G41" s="39"/>
      <c r="H41" s="2">
        <v>2.0088266626084299</v>
      </c>
      <c r="I41" s="2">
        <v>0.70652173913043403</v>
      </c>
      <c r="J41" s="2">
        <v>0.296758484248972</v>
      </c>
      <c r="K41" s="2">
        <v>0.78130434782608604</v>
      </c>
      <c r="L41" s="2">
        <v>3.3695652173913002</v>
      </c>
      <c r="M41" s="2">
        <v>0</v>
      </c>
      <c r="N41" s="2">
        <v>0</v>
      </c>
      <c r="O41" s="2">
        <v>4.2228260869565197</v>
      </c>
      <c r="P41" s="2">
        <v>4.1684782608695601</v>
      </c>
      <c r="Q41" s="2">
        <v>0</v>
      </c>
      <c r="R41" s="2">
        <v>1.75087505706893</v>
      </c>
      <c r="S41" s="2">
        <v>4.4130434782608603</v>
      </c>
      <c r="T41" s="2">
        <v>18.364130434782599</v>
      </c>
      <c r="U41" s="2">
        <v>9.5670369806726505</v>
      </c>
      <c r="V41" s="2">
        <v>4.5027173913043397</v>
      </c>
      <c r="W41" s="2">
        <v>0</v>
      </c>
      <c r="X41" s="2">
        <v>17.997282608695599</v>
      </c>
      <c r="Y41" s="2">
        <v>9.4506163445441995</v>
      </c>
      <c r="Z41" s="2">
        <v>14.9592391304347</v>
      </c>
      <c r="AA41" s="2">
        <v>0</v>
      </c>
      <c r="AB41" s="2">
        <v>14.543478260869501</v>
      </c>
      <c r="AC41" s="2">
        <v>12.391949474965701</v>
      </c>
      <c r="AD41" s="2">
        <v>0</v>
      </c>
      <c r="AE41" s="2">
        <v>0</v>
      </c>
      <c r="AF41" s="2">
        <v>0</v>
      </c>
      <c r="AG41" s="2">
        <v>0</v>
      </c>
      <c r="AH41" s="2">
        <v>0</v>
      </c>
      <c r="AI41" s="2">
        <v>0</v>
      </c>
      <c r="AJ41" s="2">
        <v>0</v>
      </c>
      <c r="AK41">
        <v>335365</v>
      </c>
      <c r="AL41" s="39">
        <v>2</v>
      </c>
    </row>
    <row r="42" spans="1:38" hidden="1" x14ac:dyDescent="0.2">
      <c r="A42" t="s">
        <v>90</v>
      </c>
      <c r="B42" t="s">
        <v>159</v>
      </c>
      <c r="C42" t="s">
        <v>160</v>
      </c>
      <c r="D42" t="s">
        <v>42</v>
      </c>
      <c r="E42" s="2">
        <v>111.565217391304</v>
      </c>
      <c r="F42" s="2">
        <v>4.5652173913043397</v>
      </c>
      <c r="G42" s="39"/>
      <c r="H42" s="2">
        <v>2.4551831644583002</v>
      </c>
      <c r="I42" s="2">
        <v>10.7608695652173</v>
      </c>
      <c r="J42" s="2">
        <v>5.7872174590802796</v>
      </c>
      <c r="K42" s="2">
        <v>0.559782608695652</v>
      </c>
      <c r="L42" s="2">
        <v>4.6576086956521703</v>
      </c>
      <c r="M42" s="2">
        <v>0</v>
      </c>
      <c r="N42" s="2">
        <v>5.38043478260869</v>
      </c>
      <c r="O42" s="2">
        <v>5.1114130434782599</v>
      </c>
      <c r="P42" s="2">
        <v>0</v>
      </c>
      <c r="Q42" s="2">
        <v>9.5244565217391308</v>
      </c>
      <c r="R42" s="2">
        <v>5.1222720187061501</v>
      </c>
      <c r="S42" s="2">
        <v>0</v>
      </c>
      <c r="T42" s="2">
        <v>23.774456521739101</v>
      </c>
      <c r="U42" s="2">
        <v>12.785950896336701</v>
      </c>
      <c r="V42" s="2">
        <v>8.8070652173912993</v>
      </c>
      <c r="W42" s="2">
        <v>10.2228260869565</v>
      </c>
      <c r="X42" s="2">
        <v>0</v>
      </c>
      <c r="Y42" s="2">
        <v>10.234314107560399</v>
      </c>
      <c r="Z42" s="2">
        <v>6.4592391304347796</v>
      </c>
      <c r="AA42" s="2">
        <v>5.9568478260869497</v>
      </c>
      <c r="AB42" s="2">
        <v>0</v>
      </c>
      <c r="AC42" s="2">
        <v>6.6773967264224403</v>
      </c>
      <c r="AD42" s="2">
        <v>0</v>
      </c>
      <c r="AE42" s="2">
        <v>0</v>
      </c>
      <c r="AF42" s="2">
        <v>0</v>
      </c>
      <c r="AG42" s="2">
        <v>0</v>
      </c>
      <c r="AH42" s="2">
        <v>0</v>
      </c>
      <c r="AI42" s="2">
        <v>0</v>
      </c>
      <c r="AJ42" s="2">
        <v>0</v>
      </c>
      <c r="AK42">
        <v>335632</v>
      </c>
      <c r="AL42" s="39">
        <v>2</v>
      </c>
    </row>
    <row r="43" spans="1:38" x14ac:dyDescent="0.2">
      <c r="A43" t="s">
        <v>90</v>
      </c>
      <c r="B43" t="s">
        <v>161</v>
      </c>
      <c r="C43" t="s">
        <v>46</v>
      </c>
      <c r="D43" t="s">
        <v>119</v>
      </c>
      <c r="E43" s="2">
        <v>155.195652173913</v>
      </c>
      <c r="F43" s="2">
        <v>10.7608695652173</v>
      </c>
      <c r="G43" s="39"/>
      <c r="H43" s="2">
        <v>4.1602465331278804</v>
      </c>
      <c r="I43" s="2">
        <v>0</v>
      </c>
      <c r="J43" s="2">
        <v>0</v>
      </c>
      <c r="K43" s="2">
        <v>0</v>
      </c>
      <c r="L43" s="2">
        <v>10.3677173913043</v>
      </c>
      <c r="M43" s="2">
        <v>0</v>
      </c>
      <c r="N43" s="2">
        <v>0</v>
      </c>
      <c r="O43" s="2">
        <v>5.0570652173913002</v>
      </c>
      <c r="P43" s="2">
        <v>8.875</v>
      </c>
      <c r="Q43" s="2">
        <v>0</v>
      </c>
      <c r="R43" s="2">
        <v>3.4311528225241599</v>
      </c>
      <c r="S43" s="2">
        <v>4.6630434782608603</v>
      </c>
      <c r="T43" s="2">
        <v>3.4755434782608599</v>
      </c>
      <c r="U43" s="2">
        <v>3.1464490825045499</v>
      </c>
      <c r="V43" s="2">
        <v>9.7445652173912993</v>
      </c>
      <c r="W43" s="2">
        <v>5.8423913043478199</v>
      </c>
      <c r="X43" s="2">
        <v>0</v>
      </c>
      <c r="Y43" s="2">
        <v>6.0260540691973601</v>
      </c>
      <c r="Z43" s="2">
        <v>13.961956521739101</v>
      </c>
      <c r="AA43" s="2">
        <v>3.9864130434782599</v>
      </c>
      <c r="AB43" s="2">
        <v>4.7798913043478199</v>
      </c>
      <c r="AC43" s="2">
        <v>8.7869449502731403</v>
      </c>
      <c r="AD43" s="2">
        <v>0</v>
      </c>
      <c r="AE43" s="2">
        <v>0</v>
      </c>
      <c r="AF43" s="2">
        <v>0</v>
      </c>
      <c r="AG43" s="2">
        <v>0</v>
      </c>
      <c r="AH43" s="2">
        <v>0</v>
      </c>
      <c r="AI43" s="2">
        <v>0</v>
      </c>
      <c r="AJ43" s="2">
        <v>0</v>
      </c>
      <c r="AK43">
        <v>335285</v>
      </c>
      <c r="AL43" s="39">
        <v>2</v>
      </c>
    </row>
    <row r="44" spans="1:38" hidden="1" x14ac:dyDescent="0.2">
      <c r="A44" t="s">
        <v>90</v>
      </c>
      <c r="B44" t="s">
        <v>162</v>
      </c>
      <c r="C44" t="s">
        <v>163</v>
      </c>
      <c r="D44" t="s">
        <v>56</v>
      </c>
      <c r="E44" s="2">
        <v>109.521739130434</v>
      </c>
      <c r="F44" s="2">
        <v>4.3478260869565197</v>
      </c>
      <c r="G44" s="39"/>
      <c r="H44" s="2">
        <v>2.3818975784041201</v>
      </c>
      <c r="I44" s="2">
        <v>1.7173913043478199</v>
      </c>
      <c r="J44" s="2">
        <v>0.94084954346963001</v>
      </c>
      <c r="K44" s="2">
        <v>0.82880434782608603</v>
      </c>
      <c r="L44" s="2">
        <v>2.6630434782608599</v>
      </c>
      <c r="M44" s="2">
        <v>0</v>
      </c>
      <c r="N44" s="2">
        <v>0.29347826086956502</v>
      </c>
      <c r="O44" s="2">
        <v>4.6440217391304301</v>
      </c>
      <c r="P44" s="2">
        <v>8.9945652173912993</v>
      </c>
      <c r="Q44" s="2">
        <v>0</v>
      </c>
      <c r="R44" s="2">
        <v>4.9275506153235398</v>
      </c>
      <c r="S44" s="2">
        <v>4.9565217391304301</v>
      </c>
      <c r="T44" s="2">
        <v>17.660326086956498</v>
      </c>
      <c r="U44" s="2">
        <v>12.3903334656609</v>
      </c>
      <c r="V44" s="2">
        <v>0.39402173913043398</v>
      </c>
      <c r="W44" s="2">
        <v>10.8423913043478</v>
      </c>
      <c r="X44" s="2">
        <v>0</v>
      </c>
      <c r="Y44" s="2">
        <v>6.15571655418817</v>
      </c>
      <c r="Z44" s="2">
        <v>11.5652173913043</v>
      </c>
      <c r="AA44" s="2">
        <v>5.4673913043478199</v>
      </c>
      <c r="AB44" s="2">
        <v>0</v>
      </c>
      <c r="AC44" s="2">
        <v>9.3310837633981691</v>
      </c>
      <c r="AD44" s="2">
        <v>2.7173913043478199</v>
      </c>
      <c r="AE44" s="2">
        <v>0</v>
      </c>
      <c r="AF44" s="2">
        <v>0</v>
      </c>
      <c r="AG44" s="2">
        <v>0</v>
      </c>
      <c r="AH44" s="2">
        <v>4.7391304347826004</v>
      </c>
      <c r="AI44" s="2">
        <v>0</v>
      </c>
      <c r="AJ44" s="2">
        <v>2.0543478260869499</v>
      </c>
      <c r="AK44">
        <v>335229</v>
      </c>
      <c r="AL44" s="39">
        <v>2</v>
      </c>
    </row>
    <row r="45" spans="1:38" hidden="1" x14ac:dyDescent="0.2">
      <c r="A45" t="s">
        <v>90</v>
      </c>
      <c r="B45" t="s">
        <v>164</v>
      </c>
      <c r="C45" t="s">
        <v>72</v>
      </c>
      <c r="D45" t="s">
        <v>56</v>
      </c>
      <c r="E45" s="2">
        <v>150.358695652173</v>
      </c>
      <c r="F45" s="2">
        <v>5.5652173913043397</v>
      </c>
      <c r="G45" s="39"/>
      <c r="H45" s="2">
        <v>2.2207764042506999</v>
      </c>
      <c r="I45" s="2">
        <v>1.4456521739130399</v>
      </c>
      <c r="J45" s="2">
        <v>0.57688137063543699</v>
      </c>
      <c r="K45" s="2">
        <v>0.86413043478260798</v>
      </c>
      <c r="L45" s="2">
        <v>10.9483695652173</v>
      </c>
      <c r="M45" s="2">
        <v>0</v>
      </c>
      <c r="N45" s="2">
        <v>6.3885869565217304</v>
      </c>
      <c r="O45" s="2">
        <v>3.63043478260869</v>
      </c>
      <c r="P45" s="2">
        <v>15.7255434782608</v>
      </c>
      <c r="Q45" s="2">
        <v>0</v>
      </c>
      <c r="R45" s="2">
        <v>6.2752114508783299</v>
      </c>
      <c r="S45" s="2">
        <v>9.8206521739130395</v>
      </c>
      <c r="T45" s="2">
        <v>12.480978260869501</v>
      </c>
      <c r="U45" s="2">
        <v>8.89937106918239</v>
      </c>
      <c r="V45" s="2">
        <v>15.8586956521739</v>
      </c>
      <c r="W45" s="2">
        <v>9.9130434782608692</v>
      </c>
      <c r="X45" s="2">
        <v>6.8206521739130404</v>
      </c>
      <c r="Y45" s="2">
        <v>13.0058555627846</v>
      </c>
      <c r="Z45" s="2">
        <v>16.953804347826001</v>
      </c>
      <c r="AA45" s="2">
        <v>10.5</v>
      </c>
      <c r="AB45" s="2">
        <v>0</v>
      </c>
      <c r="AC45" s="2">
        <v>10.955324224680099</v>
      </c>
      <c r="AD45" s="2">
        <v>0</v>
      </c>
      <c r="AE45" s="2">
        <v>0</v>
      </c>
      <c r="AF45" s="2">
        <v>0</v>
      </c>
      <c r="AG45" s="2">
        <v>0</v>
      </c>
      <c r="AH45" s="2">
        <v>0</v>
      </c>
      <c r="AI45" s="2">
        <v>0</v>
      </c>
      <c r="AJ45" s="2">
        <v>0</v>
      </c>
      <c r="AK45">
        <v>335824</v>
      </c>
      <c r="AL45" s="39">
        <v>2</v>
      </c>
    </row>
    <row r="46" spans="1:38" x14ac:dyDescent="0.2">
      <c r="A46" t="s">
        <v>90</v>
      </c>
      <c r="B46" t="s">
        <v>165</v>
      </c>
      <c r="C46" t="s">
        <v>166</v>
      </c>
      <c r="D46" t="s">
        <v>114</v>
      </c>
      <c r="E46" s="2">
        <v>106.695652173913</v>
      </c>
      <c r="F46" s="2">
        <v>5.4782608695652097</v>
      </c>
      <c r="G46" s="39"/>
      <c r="H46" s="2">
        <v>3.0806845965770102</v>
      </c>
      <c r="I46" s="2">
        <v>0</v>
      </c>
      <c r="J46" s="2">
        <v>0</v>
      </c>
      <c r="K46" s="2">
        <v>0</v>
      </c>
      <c r="L46" s="2">
        <v>4.4592391304347796</v>
      </c>
      <c r="M46" s="2">
        <v>0</v>
      </c>
      <c r="N46" s="2">
        <v>0</v>
      </c>
      <c r="O46" s="2">
        <v>4.7228260869565197</v>
      </c>
      <c r="P46" s="2">
        <v>10.7527173913043</v>
      </c>
      <c r="Q46" s="2">
        <v>4.3994565217391299</v>
      </c>
      <c r="R46" s="2">
        <v>8.5207823960880198</v>
      </c>
      <c r="S46" s="2">
        <v>5.3505434782608603</v>
      </c>
      <c r="T46" s="2">
        <v>19.347826086956498</v>
      </c>
      <c r="U46" s="2">
        <v>13.889058679706601</v>
      </c>
      <c r="V46" s="2">
        <v>4.6005434782608603</v>
      </c>
      <c r="W46" s="2">
        <v>8.9782608695652097</v>
      </c>
      <c r="X46" s="2">
        <v>0</v>
      </c>
      <c r="Y46" s="2">
        <v>7.6360024449877697</v>
      </c>
      <c r="Z46" s="2">
        <v>3.8423913043478199</v>
      </c>
      <c r="AA46" s="2">
        <v>4.1548913043478199</v>
      </c>
      <c r="AB46" s="2">
        <v>3.3614130434782599</v>
      </c>
      <c r="AC46" s="2">
        <v>6.3875305623471803</v>
      </c>
      <c r="AD46" s="2">
        <v>0</v>
      </c>
      <c r="AE46" s="2">
        <v>0</v>
      </c>
      <c r="AF46" s="2">
        <v>0</v>
      </c>
      <c r="AG46" s="2">
        <v>0</v>
      </c>
      <c r="AH46" s="2">
        <v>0</v>
      </c>
      <c r="AI46" s="2">
        <v>0</v>
      </c>
      <c r="AJ46" s="2">
        <v>0</v>
      </c>
      <c r="AK46">
        <v>335404</v>
      </c>
      <c r="AL46" s="39">
        <v>2</v>
      </c>
    </row>
    <row r="47" spans="1:38" hidden="1" x14ac:dyDescent="0.2">
      <c r="A47" t="s">
        <v>90</v>
      </c>
      <c r="B47" t="s">
        <v>167</v>
      </c>
      <c r="C47" t="s">
        <v>168</v>
      </c>
      <c r="D47" t="s">
        <v>65</v>
      </c>
      <c r="E47" s="2">
        <v>74.326086956521706</v>
      </c>
      <c r="F47" s="2">
        <v>4.4601086956521696</v>
      </c>
      <c r="G47" s="39"/>
      <c r="H47" s="2">
        <v>3.6004387247733201</v>
      </c>
      <c r="I47" s="2">
        <v>0.125</v>
      </c>
      <c r="J47" s="2">
        <v>0.100906697864872</v>
      </c>
      <c r="K47" s="2">
        <v>0</v>
      </c>
      <c r="L47" s="2">
        <v>0.1275</v>
      </c>
      <c r="M47" s="2">
        <v>0</v>
      </c>
      <c r="N47" s="2">
        <v>0</v>
      </c>
      <c r="O47" s="2">
        <v>0</v>
      </c>
      <c r="P47" s="2">
        <v>0</v>
      </c>
      <c r="Q47" s="2">
        <v>0</v>
      </c>
      <c r="R47" s="2">
        <v>0</v>
      </c>
      <c r="S47" s="2">
        <v>4.5652173913043397</v>
      </c>
      <c r="T47" s="2">
        <v>9.0331521739130398</v>
      </c>
      <c r="U47" s="2">
        <v>10.977332553378099</v>
      </c>
      <c r="V47" s="2">
        <v>0</v>
      </c>
      <c r="W47" s="2">
        <v>4.4836956521739104</v>
      </c>
      <c r="X47" s="2">
        <v>0</v>
      </c>
      <c r="Y47" s="2">
        <v>3.6194793799356502</v>
      </c>
      <c r="Z47" s="2">
        <v>4.7076086956521701</v>
      </c>
      <c r="AA47" s="2">
        <v>0.103260869565217</v>
      </c>
      <c r="AB47" s="2">
        <v>0</v>
      </c>
      <c r="AC47" s="2">
        <v>3.8835916934776198</v>
      </c>
      <c r="AD47" s="2">
        <v>0</v>
      </c>
      <c r="AE47" s="2">
        <v>0</v>
      </c>
      <c r="AF47" s="2">
        <v>0</v>
      </c>
      <c r="AG47" s="2">
        <v>0</v>
      </c>
      <c r="AH47" s="2">
        <v>0</v>
      </c>
      <c r="AI47" s="2">
        <v>0</v>
      </c>
      <c r="AJ47" s="2">
        <v>0</v>
      </c>
      <c r="AK47">
        <v>335316</v>
      </c>
      <c r="AL47" s="39">
        <v>2</v>
      </c>
    </row>
    <row r="48" spans="1:38" hidden="1" x14ac:dyDescent="0.2">
      <c r="A48" t="s">
        <v>90</v>
      </c>
      <c r="B48" t="s">
        <v>169</v>
      </c>
      <c r="C48" t="s">
        <v>170</v>
      </c>
      <c r="D48" t="s">
        <v>94</v>
      </c>
      <c r="E48" s="2">
        <v>123.217391304347</v>
      </c>
      <c r="F48" s="2">
        <v>5.4782608695652097</v>
      </c>
      <c r="G48" s="39"/>
      <c r="H48" s="2">
        <v>2.6676076217360598</v>
      </c>
      <c r="I48" s="2">
        <v>0.42391304347825998</v>
      </c>
      <c r="J48" s="2">
        <v>0.206422018348623</v>
      </c>
      <c r="K48" s="2">
        <v>0.67663043478260798</v>
      </c>
      <c r="L48" s="2">
        <v>3.95</v>
      </c>
      <c r="M48" s="2">
        <v>0</v>
      </c>
      <c r="N48" s="2">
        <v>2.9021739130434701</v>
      </c>
      <c r="O48" s="2">
        <v>5.2880434782608603</v>
      </c>
      <c r="P48" s="2">
        <v>5.2717391304347796</v>
      </c>
      <c r="Q48" s="2">
        <v>0</v>
      </c>
      <c r="R48" s="2">
        <v>2.56704304869442</v>
      </c>
      <c r="S48" s="2">
        <v>0</v>
      </c>
      <c r="T48" s="2">
        <v>54.274456521739097</v>
      </c>
      <c r="U48" s="2">
        <v>26.428634438955498</v>
      </c>
      <c r="V48" s="2">
        <v>18.531304347826001</v>
      </c>
      <c r="W48" s="2">
        <v>6.2010869565217304</v>
      </c>
      <c r="X48" s="2">
        <v>0</v>
      </c>
      <c r="Y48" s="2">
        <v>12.043295695130499</v>
      </c>
      <c r="Z48" s="2">
        <v>15.138586956521699</v>
      </c>
      <c r="AA48" s="2">
        <v>4.5597826086956497</v>
      </c>
      <c r="AB48" s="2">
        <v>0</v>
      </c>
      <c r="AC48" s="2">
        <v>9.5920077628793194</v>
      </c>
      <c r="AD48" s="2">
        <v>0</v>
      </c>
      <c r="AE48" s="2">
        <v>0</v>
      </c>
      <c r="AF48" s="2">
        <v>0</v>
      </c>
      <c r="AG48" s="2">
        <v>0</v>
      </c>
      <c r="AH48" s="2">
        <v>4.3839130434782598</v>
      </c>
      <c r="AI48" s="2">
        <v>0</v>
      </c>
      <c r="AJ48" s="2">
        <v>3.0326086956521698</v>
      </c>
      <c r="AK48">
        <v>335687</v>
      </c>
      <c r="AL48" s="39">
        <v>2</v>
      </c>
    </row>
    <row r="49" spans="1:38" x14ac:dyDescent="0.2">
      <c r="A49" t="s">
        <v>90</v>
      </c>
      <c r="B49" t="s">
        <v>171</v>
      </c>
      <c r="C49" t="s">
        <v>93</v>
      </c>
      <c r="D49" t="s">
        <v>94</v>
      </c>
      <c r="E49" s="2">
        <v>112.847826086956</v>
      </c>
      <c r="F49" s="2">
        <v>5.7391304347826004</v>
      </c>
      <c r="G49" s="39"/>
      <c r="H49" s="2">
        <v>3.0514351762666099</v>
      </c>
      <c r="I49" s="2">
        <v>0</v>
      </c>
      <c r="J49" s="2">
        <v>0</v>
      </c>
      <c r="K49" s="2">
        <v>0</v>
      </c>
      <c r="L49" s="2">
        <v>18.1467391304347</v>
      </c>
      <c r="M49" s="2">
        <v>0</v>
      </c>
      <c r="N49" s="2">
        <v>0</v>
      </c>
      <c r="O49" s="2">
        <v>3.5135869565217299</v>
      </c>
      <c r="P49" s="2">
        <v>5.3016304347826004</v>
      </c>
      <c r="Q49" s="2">
        <v>4.9565217391304301</v>
      </c>
      <c r="R49" s="2">
        <v>5.4541514159121496</v>
      </c>
      <c r="S49" s="2">
        <v>0</v>
      </c>
      <c r="T49" s="2">
        <v>20.619565217391301</v>
      </c>
      <c r="U49" s="2">
        <v>10.9632055480639</v>
      </c>
      <c r="V49" s="2">
        <v>14.0543478260869</v>
      </c>
      <c r="W49" s="2">
        <v>18.4918478260869</v>
      </c>
      <c r="X49" s="2">
        <v>0</v>
      </c>
      <c r="Y49" s="2">
        <v>17.304469273742999</v>
      </c>
      <c r="Z49" s="2">
        <v>21.989130434782599</v>
      </c>
      <c r="AA49" s="2">
        <v>16.0380434782608</v>
      </c>
      <c r="AB49" s="2">
        <v>0</v>
      </c>
      <c r="AC49" s="2">
        <v>20.2186476594105</v>
      </c>
      <c r="AD49" s="2">
        <v>0</v>
      </c>
      <c r="AE49" s="2">
        <v>0</v>
      </c>
      <c r="AF49" s="2">
        <v>0</v>
      </c>
      <c r="AG49" s="2">
        <v>0</v>
      </c>
      <c r="AH49" s="2">
        <v>0.19293478260869501</v>
      </c>
      <c r="AI49" s="2">
        <v>0</v>
      </c>
      <c r="AJ49" s="2">
        <v>0</v>
      </c>
      <c r="AK49">
        <v>335398</v>
      </c>
      <c r="AL49" s="39">
        <v>2</v>
      </c>
    </row>
    <row r="50" spans="1:38" x14ac:dyDescent="0.2">
      <c r="A50" t="s">
        <v>90</v>
      </c>
      <c r="B50" t="s">
        <v>172</v>
      </c>
      <c r="C50" t="s">
        <v>66</v>
      </c>
      <c r="D50" t="s">
        <v>45</v>
      </c>
      <c r="E50" s="2">
        <v>113.29347826086899</v>
      </c>
      <c r="F50" s="2">
        <v>4.9565217391304301</v>
      </c>
      <c r="G50" s="39"/>
      <c r="H50" s="2">
        <v>2.6249640218747001</v>
      </c>
      <c r="I50" s="2">
        <v>0</v>
      </c>
      <c r="J50" s="2">
        <v>0</v>
      </c>
      <c r="K50" s="2">
        <v>0</v>
      </c>
      <c r="L50" s="2">
        <v>5.1826086956521698</v>
      </c>
      <c r="M50" s="2">
        <v>0</v>
      </c>
      <c r="N50" s="2">
        <v>0</v>
      </c>
      <c r="O50" s="2">
        <v>6.5804347826086902</v>
      </c>
      <c r="P50" s="2">
        <v>6.8695652173913002</v>
      </c>
      <c r="Q50" s="2">
        <v>0</v>
      </c>
      <c r="R50" s="2">
        <v>3.6381080303175599</v>
      </c>
      <c r="S50" s="2">
        <v>24.391304347826001</v>
      </c>
      <c r="T50" s="2">
        <v>0</v>
      </c>
      <c r="U50" s="2">
        <v>12.9175861076465</v>
      </c>
      <c r="V50" s="2">
        <v>8.0586956521739097</v>
      </c>
      <c r="W50" s="2">
        <v>19.046739130434698</v>
      </c>
      <c r="X50" s="2">
        <v>0</v>
      </c>
      <c r="Y50" s="2">
        <v>14.3549841696248</v>
      </c>
      <c r="Z50" s="2">
        <v>10.773913043478199</v>
      </c>
      <c r="AA50" s="2">
        <v>9.7369565217391294</v>
      </c>
      <c r="AB50" s="2">
        <v>0</v>
      </c>
      <c r="AC50" s="2">
        <v>10.8625155905209</v>
      </c>
      <c r="AD50" s="2">
        <v>0</v>
      </c>
      <c r="AE50" s="2">
        <v>0</v>
      </c>
      <c r="AF50" s="2">
        <v>0</v>
      </c>
      <c r="AG50" s="2">
        <v>0</v>
      </c>
      <c r="AH50" s="2">
        <v>0</v>
      </c>
      <c r="AI50" s="2">
        <v>0</v>
      </c>
      <c r="AJ50" s="2">
        <v>0</v>
      </c>
      <c r="AK50">
        <v>335684</v>
      </c>
      <c r="AL50" s="39">
        <v>2</v>
      </c>
    </row>
    <row r="51" spans="1:38" x14ac:dyDescent="0.2">
      <c r="A51" t="s">
        <v>90</v>
      </c>
      <c r="B51" t="s">
        <v>173</v>
      </c>
      <c r="C51" t="s">
        <v>64</v>
      </c>
      <c r="D51" t="s">
        <v>45</v>
      </c>
      <c r="E51" s="2">
        <v>178.90217391304299</v>
      </c>
      <c r="F51" s="2">
        <v>8</v>
      </c>
      <c r="G51" s="39"/>
      <c r="H51" s="2">
        <v>2.6830305607874099</v>
      </c>
      <c r="I51" s="2">
        <v>0</v>
      </c>
      <c r="J51" s="2">
        <v>0</v>
      </c>
      <c r="K51" s="2">
        <v>0</v>
      </c>
      <c r="L51" s="2">
        <v>0</v>
      </c>
      <c r="M51" s="2">
        <v>0</v>
      </c>
      <c r="N51" s="2">
        <v>0</v>
      </c>
      <c r="O51" s="2">
        <v>7.1548913043478199</v>
      </c>
      <c r="P51" s="2">
        <v>13.7809782608695</v>
      </c>
      <c r="Q51" s="2">
        <v>0</v>
      </c>
      <c r="R51" s="2">
        <v>4.6218482289324898</v>
      </c>
      <c r="S51" s="2">
        <v>0</v>
      </c>
      <c r="T51" s="2">
        <v>25.864130434782599</v>
      </c>
      <c r="U51" s="2">
        <v>8.6742815480891906</v>
      </c>
      <c r="V51" s="2">
        <v>6.0842391304347796</v>
      </c>
      <c r="W51" s="2">
        <v>24.9755434782608</v>
      </c>
      <c r="X51" s="2">
        <v>0</v>
      </c>
      <c r="Y51" s="2">
        <v>10.416793243817899</v>
      </c>
      <c r="Z51" s="2">
        <v>10.4375</v>
      </c>
      <c r="AA51" s="2">
        <v>9.6793478260869499</v>
      </c>
      <c r="AB51" s="2">
        <v>0</v>
      </c>
      <c r="AC51" s="2">
        <v>6.7467646880126297</v>
      </c>
      <c r="AD51" s="2">
        <v>0</v>
      </c>
      <c r="AE51" s="2">
        <v>5.3043478260869499</v>
      </c>
      <c r="AF51" s="2">
        <v>0</v>
      </c>
      <c r="AG51" s="2">
        <v>0</v>
      </c>
      <c r="AH51" s="2">
        <v>0</v>
      </c>
      <c r="AI51" s="2">
        <v>0</v>
      </c>
      <c r="AJ51" s="2">
        <v>0</v>
      </c>
      <c r="AK51">
        <v>335464</v>
      </c>
      <c r="AL51" s="39">
        <v>2</v>
      </c>
    </row>
    <row r="52" spans="1:38" x14ac:dyDescent="0.2">
      <c r="A52" t="s">
        <v>90</v>
      </c>
      <c r="B52" t="s">
        <v>174</v>
      </c>
      <c r="C52" t="s">
        <v>175</v>
      </c>
      <c r="D52" t="s">
        <v>114</v>
      </c>
      <c r="E52" s="2">
        <v>53.989130434782602</v>
      </c>
      <c r="F52" s="2">
        <v>4.7282608695652097</v>
      </c>
      <c r="G52" s="39"/>
      <c r="H52" s="2">
        <v>5.2546808938997298</v>
      </c>
      <c r="I52" s="2">
        <v>0</v>
      </c>
      <c r="J52" s="2">
        <v>0</v>
      </c>
      <c r="K52" s="2">
        <v>0</v>
      </c>
      <c r="L52" s="2">
        <v>4.8097826086956497</v>
      </c>
      <c r="M52" s="2">
        <v>0</v>
      </c>
      <c r="N52" s="2">
        <v>0</v>
      </c>
      <c r="O52" s="2">
        <v>5.1152173913043404</v>
      </c>
      <c r="P52" s="2">
        <v>4.6467391304347796</v>
      </c>
      <c r="Q52" s="2">
        <v>0</v>
      </c>
      <c r="R52" s="2">
        <v>5.1640829474531902</v>
      </c>
      <c r="S52" s="2">
        <v>0</v>
      </c>
      <c r="T52" s="2">
        <v>19.260869565217298</v>
      </c>
      <c r="U52" s="2">
        <v>21.405274813770799</v>
      </c>
      <c r="V52" s="2">
        <v>4.38152173913043</v>
      </c>
      <c r="W52" s="2">
        <v>12.2326086956521</v>
      </c>
      <c r="X52" s="2">
        <v>0</v>
      </c>
      <c r="Y52" s="2">
        <v>18.463861485806301</v>
      </c>
      <c r="Z52" s="2">
        <v>8.3673913043478194</v>
      </c>
      <c r="AA52" s="2">
        <v>13.8576086956521</v>
      </c>
      <c r="AB52" s="2">
        <v>0</v>
      </c>
      <c r="AC52" s="2">
        <v>24.699416146567302</v>
      </c>
      <c r="AD52" s="2">
        <v>0</v>
      </c>
      <c r="AE52" s="2">
        <v>4.7282608695652097</v>
      </c>
      <c r="AF52" s="2">
        <v>0</v>
      </c>
      <c r="AG52" s="2">
        <v>0</v>
      </c>
      <c r="AH52" s="2">
        <v>0</v>
      </c>
      <c r="AI52" s="2">
        <v>0</v>
      </c>
      <c r="AJ52" s="2">
        <v>0</v>
      </c>
      <c r="AK52">
        <v>335275</v>
      </c>
      <c r="AL52" s="39">
        <v>2</v>
      </c>
    </row>
    <row r="53" spans="1:38" hidden="1" x14ac:dyDescent="0.2">
      <c r="A53" t="s">
        <v>90</v>
      </c>
      <c r="B53" t="s">
        <v>176</v>
      </c>
      <c r="C53" t="s">
        <v>98</v>
      </c>
      <c r="D53" t="s">
        <v>94</v>
      </c>
      <c r="E53" s="2">
        <v>140.71739130434699</v>
      </c>
      <c r="F53" s="2">
        <v>8.2336956521739104</v>
      </c>
      <c r="G53" s="39"/>
      <c r="H53" s="2">
        <v>3.5107369071527801</v>
      </c>
      <c r="I53" s="2">
        <v>3.9913043478260799</v>
      </c>
      <c r="J53" s="2">
        <v>1.7018384056851501</v>
      </c>
      <c r="K53" s="2">
        <v>1.1521739130434701</v>
      </c>
      <c r="L53" s="2">
        <v>4.1440217391304301</v>
      </c>
      <c r="M53" s="2">
        <v>0</v>
      </c>
      <c r="N53" s="2">
        <v>0</v>
      </c>
      <c r="O53" s="2">
        <v>1.16728260869565</v>
      </c>
      <c r="P53" s="2">
        <v>4.3559782608695601</v>
      </c>
      <c r="Q53" s="2">
        <v>3.75</v>
      </c>
      <c r="R53" s="2">
        <v>3.4562799320253301</v>
      </c>
      <c r="S53" s="2">
        <v>4.0760869565217304</v>
      </c>
      <c r="T53" s="2">
        <v>0</v>
      </c>
      <c r="U53" s="2">
        <v>1.7379885678974201</v>
      </c>
      <c r="V53" s="2">
        <v>10.864782608695601</v>
      </c>
      <c r="W53" s="2">
        <v>4.3206521739130404</v>
      </c>
      <c r="X53" s="2">
        <v>0</v>
      </c>
      <c r="Y53" s="2">
        <v>6.4748648231113801</v>
      </c>
      <c r="Z53" s="2">
        <v>15.594456521739099</v>
      </c>
      <c r="AA53" s="2">
        <v>0</v>
      </c>
      <c r="AB53" s="2">
        <v>6.0726086956521703</v>
      </c>
      <c r="AC53" s="2">
        <v>9.2385447242391407</v>
      </c>
      <c r="AD53" s="2">
        <v>0</v>
      </c>
      <c r="AE53" s="2">
        <v>0</v>
      </c>
      <c r="AF53" s="2">
        <v>0</v>
      </c>
      <c r="AG53" s="2">
        <v>0</v>
      </c>
      <c r="AH53" s="2">
        <v>0</v>
      </c>
      <c r="AI53" s="2">
        <v>0</v>
      </c>
      <c r="AJ53" s="2">
        <v>2.6902173913043401</v>
      </c>
      <c r="AK53">
        <v>335337</v>
      </c>
      <c r="AL53" s="39">
        <v>2</v>
      </c>
    </row>
    <row r="54" spans="1:38" hidden="1" x14ac:dyDescent="0.2">
      <c r="A54" t="s">
        <v>90</v>
      </c>
      <c r="B54" t="s">
        <v>177</v>
      </c>
      <c r="C54" t="s">
        <v>178</v>
      </c>
      <c r="D54" t="s">
        <v>45</v>
      </c>
      <c r="E54" s="2">
        <v>61.402173913043399</v>
      </c>
      <c r="F54" s="2">
        <v>4.8097826086956497</v>
      </c>
      <c r="G54" s="39"/>
      <c r="H54" s="2">
        <v>4.69994689325544</v>
      </c>
      <c r="I54" s="2">
        <v>1.90923913043478</v>
      </c>
      <c r="J54" s="2">
        <v>1.8656399362719001</v>
      </c>
      <c r="K54" s="2">
        <v>0.559782608695652</v>
      </c>
      <c r="L54" s="2">
        <v>9.4782608695652097</v>
      </c>
      <c r="M54" s="2">
        <v>0</v>
      </c>
      <c r="N54" s="2">
        <v>0</v>
      </c>
      <c r="O54" s="2">
        <v>2.0959782608695599</v>
      </c>
      <c r="P54" s="2">
        <v>4.7195652173912999</v>
      </c>
      <c r="Q54" s="2">
        <v>0</v>
      </c>
      <c r="R54" s="2">
        <v>4.6117896972915497</v>
      </c>
      <c r="S54" s="2">
        <v>0</v>
      </c>
      <c r="T54" s="2">
        <v>9.2038043478260807</v>
      </c>
      <c r="U54" s="2">
        <v>8.9936271906532106</v>
      </c>
      <c r="V54" s="2">
        <v>9.0578260869565206</v>
      </c>
      <c r="W54" s="2">
        <v>3.67065217391304</v>
      </c>
      <c r="X54" s="2">
        <v>0</v>
      </c>
      <c r="Y54" s="2">
        <v>12.4378120021242</v>
      </c>
      <c r="Z54" s="2">
        <v>6.7010869565217304</v>
      </c>
      <c r="AA54" s="2">
        <v>2.0914130434782598</v>
      </c>
      <c r="AB54" s="2">
        <v>0</v>
      </c>
      <c r="AC54" s="2">
        <v>8.5917153478491706</v>
      </c>
      <c r="AD54" s="2">
        <v>0</v>
      </c>
      <c r="AE54" s="2">
        <v>4.3423913043478199</v>
      </c>
      <c r="AF54" s="2">
        <v>0</v>
      </c>
      <c r="AG54" s="2">
        <v>0</v>
      </c>
      <c r="AH54" s="2">
        <v>0</v>
      </c>
      <c r="AI54" s="2">
        <v>0</v>
      </c>
      <c r="AJ54" s="2">
        <v>0</v>
      </c>
      <c r="AK54">
        <v>335784</v>
      </c>
      <c r="AL54" s="39">
        <v>2</v>
      </c>
    </row>
    <row r="55" spans="1:38" hidden="1" x14ac:dyDescent="0.2">
      <c r="A55" t="s">
        <v>90</v>
      </c>
      <c r="B55" t="s">
        <v>179</v>
      </c>
      <c r="C55" t="s">
        <v>180</v>
      </c>
      <c r="D55" t="s">
        <v>94</v>
      </c>
      <c r="E55" s="2">
        <v>167.22826086956499</v>
      </c>
      <c r="F55" s="2">
        <v>5.7391304347826004</v>
      </c>
      <c r="G55" s="39"/>
      <c r="H55" s="2">
        <v>2.0591485212869598</v>
      </c>
      <c r="I55" s="2">
        <v>0.56521739130434701</v>
      </c>
      <c r="J55" s="2">
        <v>0.20279493012674599</v>
      </c>
      <c r="K55" s="2">
        <v>1.23369565217391</v>
      </c>
      <c r="L55" s="2">
        <v>4.8913043478260798</v>
      </c>
      <c r="M55" s="2">
        <v>0</v>
      </c>
      <c r="N55" s="2">
        <v>0</v>
      </c>
      <c r="O55" s="2">
        <v>5.6576086956521703</v>
      </c>
      <c r="P55" s="2">
        <v>16.586956521739101</v>
      </c>
      <c r="Q55" s="2">
        <v>0</v>
      </c>
      <c r="R55" s="2">
        <v>5.9512512187195297</v>
      </c>
      <c r="S55" s="2">
        <v>0</v>
      </c>
      <c r="T55" s="2">
        <v>37.913043478260803</v>
      </c>
      <c r="U55" s="2">
        <v>13.602859928501699</v>
      </c>
      <c r="V55" s="2">
        <v>23.125</v>
      </c>
      <c r="W55" s="2">
        <v>20.067934782608599</v>
      </c>
      <c r="X55" s="2">
        <v>0</v>
      </c>
      <c r="Y55" s="2">
        <v>15.497237569060699</v>
      </c>
      <c r="Z55" s="2">
        <v>29.5298913043478</v>
      </c>
      <c r="AA55" s="2">
        <v>14.1005434782608</v>
      </c>
      <c r="AB55" s="2">
        <v>0</v>
      </c>
      <c r="AC55" s="2">
        <v>15.6542086447838</v>
      </c>
      <c r="AD55" s="2">
        <v>0</v>
      </c>
      <c r="AE55" s="2">
        <v>0</v>
      </c>
      <c r="AF55" s="2">
        <v>0</v>
      </c>
      <c r="AG55" s="2">
        <v>0</v>
      </c>
      <c r="AH55" s="2">
        <v>5.1005434782608603</v>
      </c>
      <c r="AI55" s="2">
        <v>0</v>
      </c>
      <c r="AJ55" s="2">
        <v>0</v>
      </c>
      <c r="AK55">
        <v>335508</v>
      </c>
      <c r="AL55" s="39">
        <v>2</v>
      </c>
    </row>
    <row r="56" spans="1:38" x14ac:dyDescent="0.2">
      <c r="A56" t="s">
        <v>90</v>
      </c>
      <c r="B56" t="s">
        <v>181</v>
      </c>
      <c r="C56" t="s">
        <v>182</v>
      </c>
      <c r="D56" t="s">
        <v>94</v>
      </c>
      <c r="E56" s="2">
        <v>110.89130434782599</v>
      </c>
      <c r="F56" s="2">
        <v>5.5217391304347796</v>
      </c>
      <c r="G56" s="39"/>
      <c r="H56" s="2">
        <v>2.9876494804940199</v>
      </c>
      <c r="I56" s="2">
        <v>0</v>
      </c>
      <c r="J56" s="2">
        <v>0</v>
      </c>
      <c r="K56" s="2">
        <v>0</v>
      </c>
      <c r="L56" s="2">
        <v>26.263586956521699</v>
      </c>
      <c r="M56" s="2">
        <v>0</v>
      </c>
      <c r="N56" s="2">
        <v>2.7418478260869499</v>
      </c>
      <c r="O56" s="2">
        <v>5.1630434782608603</v>
      </c>
      <c r="P56" s="2">
        <v>24.3967391304347</v>
      </c>
      <c r="Q56" s="2">
        <v>0</v>
      </c>
      <c r="R56" s="2">
        <v>13.2003528719858</v>
      </c>
      <c r="S56" s="2">
        <v>20.551630434782599</v>
      </c>
      <c r="T56" s="2">
        <v>0</v>
      </c>
      <c r="U56" s="2">
        <v>11.1198784552048</v>
      </c>
      <c r="V56" s="2">
        <v>4.6141304347826004</v>
      </c>
      <c r="W56" s="2">
        <v>9.4809782608695592</v>
      </c>
      <c r="X56" s="2">
        <v>0</v>
      </c>
      <c r="Y56" s="2">
        <v>7.6264457949421596</v>
      </c>
      <c r="Z56" s="2">
        <v>11.657608695652099</v>
      </c>
      <c r="AA56" s="2">
        <v>19.926630434782599</v>
      </c>
      <c r="AB56" s="2">
        <v>10.016304347826001</v>
      </c>
      <c r="AC56" s="2">
        <v>22.508821799647102</v>
      </c>
      <c r="AD56" s="2">
        <v>0</v>
      </c>
      <c r="AE56" s="2">
        <v>0</v>
      </c>
      <c r="AF56" s="2">
        <v>0</v>
      </c>
      <c r="AG56" s="2">
        <v>57.105978260869499</v>
      </c>
      <c r="AH56" s="2">
        <v>0</v>
      </c>
      <c r="AI56" s="2">
        <v>0</v>
      </c>
      <c r="AJ56" s="2">
        <v>0</v>
      </c>
      <c r="AK56">
        <v>335320</v>
      </c>
      <c r="AL56" s="39">
        <v>2</v>
      </c>
    </row>
    <row r="57" spans="1:38" x14ac:dyDescent="0.2">
      <c r="A57" t="s">
        <v>90</v>
      </c>
      <c r="B57" t="s">
        <v>183</v>
      </c>
      <c r="C57" t="s">
        <v>180</v>
      </c>
      <c r="D57" t="s">
        <v>94</v>
      </c>
      <c r="E57" s="2">
        <v>187.108695652173</v>
      </c>
      <c r="F57" s="2">
        <v>5.4782608695652097</v>
      </c>
      <c r="G57" s="39"/>
      <c r="H57" s="2">
        <v>1.75670965493203</v>
      </c>
      <c r="I57" s="2">
        <v>0</v>
      </c>
      <c r="J57" s="2">
        <v>0</v>
      </c>
      <c r="K57" s="2">
        <v>0</v>
      </c>
      <c r="L57" s="2">
        <v>8.6379347826086903</v>
      </c>
      <c r="M57" s="2">
        <v>0</v>
      </c>
      <c r="N57" s="2">
        <v>0</v>
      </c>
      <c r="O57" s="2">
        <v>3.2010869565217299</v>
      </c>
      <c r="P57" s="2">
        <v>5.5652173913043397</v>
      </c>
      <c r="Q57" s="2">
        <v>2.8631521739130399</v>
      </c>
      <c r="R57" s="2">
        <v>2.7027187173231</v>
      </c>
      <c r="S57" s="2">
        <v>5.4782608695652097</v>
      </c>
      <c r="T57" s="2">
        <v>29.310978260869501</v>
      </c>
      <c r="U57" s="2">
        <v>11.1558382711746</v>
      </c>
      <c r="V57" s="2">
        <v>7.0106521739130399</v>
      </c>
      <c r="W57" s="2">
        <v>5.3043478260869499</v>
      </c>
      <c r="X57" s="2">
        <v>0</v>
      </c>
      <c r="Y57" s="2">
        <v>3.9490414778668499</v>
      </c>
      <c r="Z57" s="2">
        <v>12.166304347825999</v>
      </c>
      <c r="AA57" s="2">
        <v>5.3913043478260798</v>
      </c>
      <c r="AB57" s="2">
        <v>0</v>
      </c>
      <c r="AC57" s="2">
        <v>5.63018473335657</v>
      </c>
      <c r="AD57" s="2">
        <v>0</v>
      </c>
      <c r="AE57" s="2">
        <v>0</v>
      </c>
      <c r="AF57" s="2">
        <v>0</v>
      </c>
      <c r="AG57" s="2">
        <v>0</v>
      </c>
      <c r="AH57" s="2">
        <v>0</v>
      </c>
      <c r="AI57" s="2">
        <v>0</v>
      </c>
      <c r="AJ57" s="2">
        <v>0</v>
      </c>
      <c r="AK57">
        <v>335806</v>
      </c>
      <c r="AL57" s="39">
        <v>2</v>
      </c>
    </row>
    <row r="58" spans="1:38" x14ac:dyDescent="0.2">
      <c r="A58" t="s">
        <v>90</v>
      </c>
      <c r="B58" t="s">
        <v>184</v>
      </c>
      <c r="C58" t="s">
        <v>185</v>
      </c>
      <c r="D58" t="s">
        <v>94</v>
      </c>
      <c r="E58" s="2">
        <v>290.95652173912998</v>
      </c>
      <c r="F58" s="2">
        <v>4.0760869565217304</v>
      </c>
      <c r="G58" s="39"/>
      <c r="H58" s="2">
        <v>0.84055588762701705</v>
      </c>
      <c r="I58" s="2">
        <v>0</v>
      </c>
      <c r="J58" s="2">
        <v>0</v>
      </c>
      <c r="K58" s="2">
        <v>0</v>
      </c>
      <c r="L58" s="2">
        <v>14.4397826086956</v>
      </c>
      <c r="M58" s="2">
        <v>0</v>
      </c>
      <c r="N58" s="2">
        <v>0</v>
      </c>
      <c r="O58" s="2">
        <v>5.00630434782608</v>
      </c>
      <c r="P58" s="2">
        <v>4.0760869565217304</v>
      </c>
      <c r="Q58" s="2">
        <v>16.765108695652099</v>
      </c>
      <c r="R58" s="2">
        <v>4.2977958756724401</v>
      </c>
      <c r="S58" s="2">
        <v>17.844565217391299</v>
      </c>
      <c r="T58" s="2">
        <v>0</v>
      </c>
      <c r="U58" s="2">
        <v>3.67984160191273</v>
      </c>
      <c r="V58" s="2">
        <v>15.5465217391304</v>
      </c>
      <c r="W58" s="2">
        <v>16.353586956521699</v>
      </c>
      <c r="X58" s="2">
        <v>0</v>
      </c>
      <c r="Y58" s="2">
        <v>6.5783248655110498</v>
      </c>
      <c r="Z58" s="2">
        <v>24.6626086956521</v>
      </c>
      <c r="AA58" s="2">
        <v>18.720652173912999</v>
      </c>
      <c r="AB58" s="2">
        <v>0</v>
      </c>
      <c r="AC58" s="2">
        <v>8.9463389121338892</v>
      </c>
      <c r="AD58" s="2">
        <v>0</v>
      </c>
      <c r="AE58" s="2">
        <v>4.8066304347826003</v>
      </c>
      <c r="AF58" s="2">
        <v>0</v>
      </c>
      <c r="AG58" s="2">
        <v>47.651086956521702</v>
      </c>
      <c r="AH58" s="2">
        <v>0</v>
      </c>
      <c r="AI58" s="2">
        <v>0</v>
      </c>
      <c r="AJ58" s="2">
        <v>0</v>
      </c>
      <c r="AK58">
        <v>335383</v>
      </c>
      <c r="AL58" s="39">
        <v>2</v>
      </c>
    </row>
    <row r="59" spans="1:38" x14ac:dyDescent="0.2">
      <c r="A59" t="s">
        <v>90</v>
      </c>
      <c r="B59" t="s">
        <v>186</v>
      </c>
      <c r="C59" t="s">
        <v>187</v>
      </c>
      <c r="D59" t="s">
        <v>45</v>
      </c>
      <c r="E59" s="2">
        <v>29.597826086956498</v>
      </c>
      <c r="F59" s="2">
        <v>3.7391304347826</v>
      </c>
      <c r="G59" s="39"/>
      <c r="H59" s="2">
        <v>7.5798751377157503</v>
      </c>
      <c r="I59" s="2">
        <v>0</v>
      </c>
      <c r="J59" s="2">
        <v>0</v>
      </c>
      <c r="K59" s="2">
        <v>0.434782608695652</v>
      </c>
      <c r="L59" s="2">
        <v>2.7826086956521698</v>
      </c>
      <c r="M59" s="2">
        <v>0</v>
      </c>
      <c r="N59" s="2">
        <v>0</v>
      </c>
      <c r="O59" s="2">
        <v>0.18652173913043399</v>
      </c>
      <c r="P59" s="2">
        <v>0</v>
      </c>
      <c r="Q59" s="2">
        <v>2.4266304347826</v>
      </c>
      <c r="R59" s="2">
        <v>4.91920675725303</v>
      </c>
      <c r="S59" s="2">
        <v>2.9130434782608599</v>
      </c>
      <c r="T59" s="2">
        <v>9.5597826086956506</v>
      </c>
      <c r="U59" s="2">
        <v>25.284612559676798</v>
      </c>
      <c r="V59" s="2">
        <v>0</v>
      </c>
      <c r="W59" s="2">
        <v>2.4107608695652099</v>
      </c>
      <c r="X59" s="2">
        <v>0</v>
      </c>
      <c r="Y59" s="2">
        <v>4.8870363569592303</v>
      </c>
      <c r="Z59" s="2">
        <v>5.4021739130434696</v>
      </c>
      <c r="AA59" s="2">
        <v>4.6423913043478198</v>
      </c>
      <c r="AB59" s="2">
        <v>0</v>
      </c>
      <c r="AC59" s="2">
        <v>20.362100624311399</v>
      </c>
      <c r="AD59" s="2">
        <v>0</v>
      </c>
      <c r="AE59" s="2">
        <v>0</v>
      </c>
      <c r="AF59" s="2">
        <v>0</v>
      </c>
      <c r="AG59" s="2">
        <v>0</v>
      </c>
      <c r="AH59" s="2">
        <v>0</v>
      </c>
      <c r="AI59" s="2">
        <v>0</v>
      </c>
      <c r="AJ59" s="2">
        <v>0</v>
      </c>
      <c r="AK59">
        <v>335692</v>
      </c>
      <c r="AL59" s="39">
        <v>2</v>
      </c>
    </row>
    <row r="60" spans="1:38" hidden="1" x14ac:dyDescent="0.2">
      <c r="A60" t="s">
        <v>90</v>
      </c>
      <c r="B60" t="s">
        <v>188</v>
      </c>
      <c r="C60" t="s">
        <v>67</v>
      </c>
      <c r="D60" t="s">
        <v>65</v>
      </c>
      <c r="E60" s="2">
        <v>121.815217391304</v>
      </c>
      <c r="F60" s="2">
        <v>4.2391304347826004</v>
      </c>
      <c r="G60" s="39"/>
      <c r="H60" s="2">
        <v>2.0879807263317498</v>
      </c>
      <c r="I60" s="2">
        <v>5.2173913043478199</v>
      </c>
      <c r="J60" s="2">
        <v>2.5698224324083099</v>
      </c>
      <c r="K60" s="2">
        <v>0</v>
      </c>
      <c r="L60" s="2">
        <v>1.9565217391304299</v>
      </c>
      <c r="M60" s="2">
        <v>0</v>
      </c>
      <c r="N60" s="2">
        <v>0</v>
      </c>
      <c r="O60" s="2">
        <v>9.6902173913043406</v>
      </c>
      <c r="P60" s="2">
        <v>0</v>
      </c>
      <c r="Q60" s="2">
        <v>9.0978260869565197</v>
      </c>
      <c r="R60" s="2">
        <v>4.4811278665119998</v>
      </c>
      <c r="S60" s="2">
        <v>4.5597826086956497</v>
      </c>
      <c r="T60" s="2">
        <v>12.8967391304347</v>
      </c>
      <c r="U60" s="2">
        <v>8.5981975550994907</v>
      </c>
      <c r="V60" s="2">
        <v>5.3967391304347796</v>
      </c>
      <c r="W60" s="2">
        <v>12.461956521739101</v>
      </c>
      <c r="X60" s="2">
        <v>0</v>
      </c>
      <c r="Y60" s="2">
        <v>8.7962880342642897</v>
      </c>
      <c r="Z60" s="2">
        <v>6.3152173913043397</v>
      </c>
      <c r="AA60" s="2">
        <v>8.2581521739130395</v>
      </c>
      <c r="AB60" s="2">
        <v>0</v>
      </c>
      <c r="AC60" s="2">
        <v>7.1781029713571796</v>
      </c>
      <c r="AD60" s="2">
        <v>0</v>
      </c>
      <c r="AE60" s="2">
        <v>0</v>
      </c>
      <c r="AF60" s="2">
        <v>0</v>
      </c>
      <c r="AG60" s="2">
        <v>0</v>
      </c>
      <c r="AH60" s="2">
        <v>0</v>
      </c>
      <c r="AI60" s="2">
        <v>0</v>
      </c>
      <c r="AJ60" s="2">
        <v>0</v>
      </c>
      <c r="AK60">
        <v>335628</v>
      </c>
      <c r="AL60" s="39">
        <v>2</v>
      </c>
    </row>
    <row r="61" spans="1:38" hidden="1" x14ac:dyDescent="0.2">
      <c r="A61" t="s">
        <v>90</v>
      </c>
      <c r="B61" t="s">
        <v>189</v>
      </c>
      <c r="C61" t="s">
        <v>100</v>
      </c>
      <c r="D61" t="s">
        <v>94</v>
      </c>
      <c r="E61" s="2">
        <v>117.521739130434</v>
      </c>
      <c r="F61" s="2">
        <v>4.5652173913043397</v>
      </c>
      <c r="G61" s="39"/>
      <c r="H61" s="2">
        <v>2.3307436182019901</v>
      </c>
      <c r="I61" s="2">
        <v>8.8858695652173907</v>
      </c>
      <c r="J61" s="2">
        <v>4.5366259711431702</v>
      </c>
      <c r="K61" s="2">
        <v>0</v>
      </c>
      <c r="L61" s="2">
        <v>9.5380434782608692</v>
      </c>
      <c r="M61" s="2">
        <v>0</v>
      </c>
      <c r="N61" s="2">
        <v>20.885869565217298</v>
      </c>
      <c r="O61" s="2">
        <v>31.958695652173901</v>
      </c>
      <c r="P61" s="2">
        <v>0</v>
      </c>
      <c r="Q61" s="2">
        <v>24.730434782608601</v>
      </c>
      <c r="R61" s="2">
        <v>12.625971143174199</v>
      </c>
      <c r="S61" s="2">
        <v>0</v>
      </c>
      <c r="T61" s="2">
        <v>4.0739130434782602</v>
      </c>
      <c r="U61" s="2">
        <v>2.0799112097669199</v>
      </c>
      <c r="V61" s="2">
        <v>30.4326086956521</v>
      </c>
      <c r="W61" s="2">
        <v>0</v>
      </c>
      <c r="X61" s="2">
        <v>0</v>
      </c>
      <c r="Y61" s="2">
        <v>15.537180910099799</v>
      </c>
      <c r="Z61" s="2">
        <v>33.046739130434702</v>
      </c>
      <c r="AA61" s="2">
        <v>0</v>
      </c>
      <c r="AB61" s="2">
        <v>14.282608695652099</v>
      </c>
      <c r="AC61" s="2">
        <v>24.1637069922308</v>
      </c>
      <c r="AD61" s="2">
        <v>0</v>
      </c>
      <c r="AE61" s="2">
        <v>96.1989130434782</v>
      </c>
      <c r="AF61" s="2">
        <v>0</v>
      </c>
      <c r="AG61" s="2">
        <v>0</v>
      </c>
      <c r="AH61" s="2">
        <v>114.00978260869501</v>
      </c>
      <c r="AI61" s="2">
        <v>0</v>
      </c>
      <c r="AJ61" s="2">
        <v>0.434782608695652</v>
      </c>
      <c r="AK61">
        <v>335667</v>
      </c>
      <c r="AL61" s="39">
        <v>2</v>
      </c>
    </row>
    <row r="62" spans="1:38" x14ac:dyDescent="0.2">
      <c r="A62" t="s">
        <v>90</v>
      </c>
      <c r="B62" t="s">
        <v>190</v>
      </c>
      <c r="C62" t="s">
        <v>98</v>
      </c>
      <c r="D62" t="s">
        <v>94</v>
      </c>
      <c r="E62" s="2">
        <v>152.01086956521701</v>
      </c>
      <c r="F62" s="2">
        <v>5.2989130434782599</v>
      </c>
      <c r="G62" s="39"/>
      <c r="H62" s="2">
        <v>2.0915266356810802</v>
      </c>
      <c r="I62" s="2">
        <v>0</v>
      </c>
      <c r="J62" s="2">
        <v>0</v>
      </c>
      <c r="K62" s="2">
        <v>0</v>
      </c>
      <c r="L62" s="2">
        <v>9.9456521739130395</v>
      </c>
      <c r="M62" s="2">
        <v>0</v>
      </c>
      <c r="N62" s="2">
        <v>0</v>
      </c>
      <c r="O62" s="2">
        <v>4.7336956521739104</v>
      </c>
      <c r="P62" s="2">
        <v>10.1086956521739</v>
      </c>
      <c r="Q62" s="2">
        <v>0</v>
      </c>
      <c r="R62" s="2">
        <v>3.9899892742223799</v>
      </c>
      <c r="S62" s="2">
        <v>6.4375</v>
      </c>
      <c r="T62" s="2">
        <v>23.9211956521739</v>
      </c>
      <c r="U62" s="2">
        <v>11.9828387558097</v>
      </c>
      <c r="V62" s="2">
        <v>10.298913043478199</v>
      </c>
      <c r="W62" s="2">
        <v>20.328804347826001</v>
      </c>
      <c r="X62" s="2">
        <v>0</v>
      </c>
      <c r="Y62" s="2">
        <v>12.0890239542366</v>
      </c>
      <c r="Z62" s="2">
        <v>16.230978260869499</v>
      </c>
      <c r="AA62" s="2">
        <v>10.703804347826001</v>
      </c>
      <c r="AB62" s="2">
        <v>0</v>
      </c>
      <c r="AC62" s="2">
        <v>10.6313907758312</v>
      </c>
      <c r="AD62" s="2">
        <v>0</v>
      </c>
      <c r="AE62" s="2">
        <v>0</v>
      </c>
      <c r="AF62" s="2">
        <v>0</v>
      </c>
      <c r="AG62" s="2">
        <v>0</v>
      </c>
      <c r="AH62" s="2">
        <v>0</v>
      </c>
      <c r="AI62" s="2">
        <v>0</v>
      </c>
      <c r="AJ62" s="2">
        <v>0</v>
      </c>
      <c r="AK62">
        <v>335350</v>
      </c>
      <c r="AL62" s="39">
        <v>2</v>
      </c>
    </row>
    <row r="63" spans="1:38" hidden="1" x14ac:dyDescent="0.2">
      <c r="A63" t="s">
        <v>90</v>
      </c>
      <c r="B63" t="s">
        <v>191</v>
      </c>
      <c r="C63" t="s">
        <v>116</v>
      </c>
      <c r="D63" t="s">
        <v>114</v>
      </c>
      <c r="E63" s="2">
        <v>136.70652173913001</v>
      </c>
      <c r="F63" s="2">
        <v>4.7826086956521703</v>
      </c>
      <c r="G63" s="39"/>
      <c r="H63" s="2">
        <v>2.0990697304603598</v>
      </c>
      <c r="I63" s="2">
        <v>6.25E-2</v>
      </c>
      <c r="J63" s="2">
        <v>2.7431024886697901E-2</v>
      </c>
      <c r="K63" s="2">
        <v>0</v>
      </c>
      <c r="L63" s="2">
        <v>5.1826086956521698</v>
      </c>
      <c r="M63" s="2">
        <v>3.8043478260869498E-2</v>
      </c>
      <c r="N63" s="2">
        <v>4.4826086956521696</v>
      </c>
      <c r="O63" s="2">
        <v>4.8743478260869502</v>
      </c>
      <c r="P63" s="2">
        <v>0</v>
      </c>
      <c r="Q63" s="2">
        <v>11.320652173913</v>
      </c>
      <c r="R63" s="2">
        <v>4.9685934642601497</v>
      </c>
      <c r="S63" s="2">
        <v>4.1530434782608596</v>
      </c>
      <c r="T63" s="2">
        <v>22.859673913043402</v>
      </c>
      <c r="U63" s="2">
        <v>11.8557843682913</v>
      </c>
      <c r="V63" s="2">
        <v>11.3423913043478</v>
      </c>
      <c r="W63" s="2">
        <v>14.219782608695599</v>
      </c>
      <c r="X63" s="2">
        <v>0</v>
      </c>
      <c r="Y63" s="2">
        <v>11.219146060268701</v>
      </c>
      <c r="Z63" s="2">
        <v>7.94293478260869</v>
      </c>
      <c r="AA63" s="2">
        <v>8.3579347826086892</v>
      </c>
      <c r="AB63" s="2">
        <v>0</v>
      </c>
      <c r="AC63" s="2">
        <v>7.1543929394927197</v>
      </c>
      <c r="AD63" s="2">
        <v>0</v>
      </c>
      <c r="AE63" s="2">
        <v>0</v>
      </c>
      <c r="AF63" s="2">
        <v>0</v>
      </c>
      <c r="AG63" s="2">
        <v>0</v>
      </c>
      <c r="AH63" s="2">
        <v>0</v>
      </c>
      <c r="AI63" s="2">
        <v>0</v>
      </c>
      <c r="AJ63" s="2">
        <v>1.06934782608695</v>
      </c>
      <c r="AK63">
        <v>335828</v>
      </c>
      <c r="AL63" s="39">
        <v>2</v>
      </c>
    </row>
    <row r="64" spans="1:38" hidden="1" x14ac:dyDescent="0.2">
      <c r="A64" t="s">
        <v>90</v>
      </c>
      <c r="B64" t="s">
        <v>192</v>
      </c>
      <c r="C64" t="s">
        <v>193</v>
      </c>
      <c r="D64" t="s">
        <v>114</v>
      </c>
      <c r="E64" s="2">
        <v>149.184782608695</v>
      </c>
      <c r="F64" s="2">
        <v>5.2173913043478199</v>
      </c>
      <c r="G64" s="39"/>
      <c r="H64" s="2">
        <v>2.0983606557377001</v>
      </c>
      <c r="I64" s="2">
        <v>1.2418478260869501</v>
      </c>
      <c r="J64" s="2">
        <v>0.49945355191256802</v>
      </c>
      <c r="K64" s="2">
        <v>0</v>
      </c>
      <c r="L64" s="2">
        <v>5.1630434782608603</v>
      </c>
      <c r="M64" s="2">
        <v>0</v>
      </c>
      <c r="N64" s="2">
        <v>2.86358695652173</v>
      </c>
      <c r="O64" s="2">
        <v>10.9186956521739</v>
      </c>
      <c r="P64" s="2">
        <v>0</v>
      </c>
      <c r="Q64" s="2">
        <v>13.694021739130401</v>
      </c>
      <c r="R64" s="2">
        <v>5.5075409836065496</v>
      </c>
      <c r="S64" s="2">
        <v>4.5597826086956497</v>
      </c>
      <c r="T64" s="2">
        <v>17.039130434782599</v>
      </c>
      <c r="U64" s="2">
        <v>8.6867759562841496</v>
      </c>
      <c r="V64" s="2">
        <v>21.826847826086901</v>
      </c>
      <c r="W64" s="2">
        <v>16.702934782608601</v>
      </c>
      <c r="X64" s="2">
        <v>0</v>
      </c>
      <c r="Y64" s="2">
        <v>15.4961311475409</v>
      </c>
      <c r="Z64" s="2">
        <v>19.239999999999998</v>
      </c>
      <c r="AA64" s="2">
        <v>18.4108695652173</v>
      </c>
      <c r="AB64" s="2">
        <v>0</v>
      </c>
      <c r="AC64" s="2">
        <v>15.1426448087431</v>
      </c>
      <c r="AD64" s="2">
        <v>0</v>
      </c>
      <c r="AE64" s="2">
        <v>0</v>
      </c>
      <c r="AF64" s="2">
        <v>0</v>
      </c>
      <c r="AG64" s="2">
        <v>0</v>
      </c>
      <c r="AH64" s="2">
        <v>0</v>
      </c>
      <c r="AI64" s="2">
        <v>0</v>
      </c>
      <c r="AJ64" s="2">
        <v>0.32119565217391299</v>
      </c>
      <c r="AK64">
        <v>335789</v>
      </c>
      <c r="AL64" s="39">
        <v>2</v>
      </c>
    </row>
    <row r="65" spans="1:38" hidden="1" x14ac:dyDescent="0.2">
      <c r="A65" t="s">
        <v>90</v>
      </c>
      <c r="B65" t="s">
        <v>194</v>
      </c>
      <c r="C65" t="s">
        <v>48</v>
      </c>
      <c r="D65" t="s">
        <v>125</v>
      </c>
      <c r="E65" s="2">
        <v>98.054347826086897</v>
      </c>
      <c r="F65" s="2">
        <v>5.3913043478260798</v>
      </c>
      <c r="G65" s="39"/>
      <c r="H65" s="2">
        <v>3.2989690721649398</v>
      </c>
      <c r="I65" s="2">
        <v>0.43206521739130399</v>
      </c>
      <c r="J65" s="2">
        <v>0.26438310608579901</v>
      </c>
      <c r="K65" s="2">
        <v>0.83423913043478204</v>
      </c>
      <c r="L65" s="2">
        <v>2.0271739130434701</v>
      </c>
      <c r="M65" s="2">
        <v>0</v>
      </c>
      <c r="N65" s="2">
        <v>5.4592391304347796</v>
      </c>
      <c r="O65" s="2">
        <v>9.7782608695652105</v>
      </c>
      <c r="P65" s="2">
        <v>0</v>
      </c>
      <c r="Q65" s="2">
        <v>10.570108695652101</v>
      </c>
      <c r="R65" s="2">
        <v>6.4679082141669397</v>
      </c>
      <c r="S65" s="2">
        <v>5.0896739130434696</v>
      </c>
      <c r="T65" s="2">
        <v>13.2516304347826</v>
      </c>
      <c r="U65" s="2">
        <v>11.223145992683699</v>
      </c>
      <c r="V65" s="2">
        <v>5.8668478260869499</v>
      </c>
      <c r="W65" s="2">
        <v>12.9811956521739</v>
      </c>
      <c r="X65" s="2">
        <v>0</v>
      </c>
      <c r="Y65" s="2">
        <v>11.5332224808779</v>
      </c>
      <c r="Z65" s="2">
        <v>9.1576086956521703</v>
      </c>
      <c r="AA65" s="2">
        <v>12.628804347826</v>
      </c>
      <c r="AB65" s="2">
        <v>0</v>
      </c>
      <c r="AC65" s="2">
        <v>13.331227136680999</v>
      </c>
      <c r="AD65" s="2">
        <v>0</v>
      </c>
      <c r="AE65" s="2">
        <v>0</v>
      </c>
      <c r="AF65" s="2">
        <v>0</v>
      </c>
      <c r="AG65" s="2">
        <v>0</v>
      </c>
      <c r="AH65" s="2">
        <v>25.411195652173902</v>
      </c>
      <c r="AI65" s="2">
        <v>0</v>
      </c>
      <c r="AJ65" s="2">
        <v>0.108695652173913</v>
      </c>
      <c r="AK65">
        <v>335803</v>
      </c>
      <c r="AL65" s="39">
        <v>2</v>
      </c>
    </row>
    <row r="66" spans="1:38" x14ac:dyDescent="0.2">
      <c r="A66" t="s">
        <v>90</v>
      </c>
      <c r="B66" t="s">
        <v>195</v>
      </c>
      <c r="C66" t="s">
        <v>196</v>
      </c>
      <c r="D66" t="s">
        <v>94</v>
      </c>
      <c r="E66" s="2">
        <v>115.532608695652</v>
      </c>
      <c r="F66" s="2">
        <v>4.6336956521739099</v>
      </c>
      <c r="G66" s="39"/>
      <c r="H66" s="2">
        <v>2.4064352243861098</v>
      </c>
      <c r="I66" s="2">
        <v>0</v>
      </c>
      <c r="J66" s="2">
        <v>0</v>
      </c>
      <c r="K66" s="2">
        <v>0</v>
      </c>
      <c r="L66" s="2">
        <v>4.2532608695652101</v>
      </c>
      <c r="M66" s="2">
        <v>0</v>
      </c>
      <c r="N66" s="2">
        <v>0</v>
      </c>
      <c r="O66" s="2">
        <v>4.4858695652173903</v>
      </c>
      <c r="P66" s="2">
        <v>8.5271739130434696</v>
      </c>
      <c r="Q66" s="2">
        <v>0</v>
      </c>
      <c r="R66" s="2">
        <v>4.4284504657070203</v>
      </c>
      <c r="S66" s="2">
        <v>4.3239130434782602</v>
      </c>
      <c r="T66" s="2">
        <v>10.8141304347826</v>
      </c>
      <c r="U66" s="2">
        <v>7.8616991250352797</v>
      </c>
      <c r="V66" s="2">
        <v>7.7228260869565197</v>
      </c>
      <c r="W66" s="2">
        <v>14.417391304347801</v>
      </c>
      <c r="X66" s="2">
        <v>0</v>
      </c>
      <c r="Y66" s="2">
        <v>11.4981653965565</v>
      </c>
      <c r="Z66" s="2">
        <v>14.4380434782608</v>
      </c>
      <c r="AA66" s="2">
        <v>6.5543478260869499</v>
      </c>
      <c r="AB66" s="2">
        <v>0</v>
      </c>
      <c r="AC66" s="2">
        <v>10.9020604007902</v>
      </c>
      <c r="AD66" s="2">
        <v>0</v>
      </c>
      <c r="AE66" s="2">
        <v>0</v>
      </c>
      <c r="AF66" s="2">
        <v>0</v>
      </c>
      <c r="AG66" s="2">
        <v>0</v>
      </c>
      <c r="AH66" s="2">
        <v>0</v>
      </c>
      <c r="AI66" s="2">
        <v>0</v>
      </c>
      <c r="AJ66" s="2">
        <v>0</v>
      </c>
      <c r="AK66">
        <v>335421</v>
      </c>
      <c r="AL66" s="39">
        <v>2</v>
      </c>
    </row>
    <row r="67" spans="1:38" hidden="1" x14ac:dyDescent="0.2">
      <c r="A67" t="s">
        <v>90</v>
      </c>
      <c r="B67" t="s">
        <v>197</v>
      </c>
      <c r="C67" t="s">
        <v>150</v>
      </c>
      <c r="D67" t="s">
        <v>125</v>
      </c>
      <c r="E67" s="2">
        <v>248.858695652173</v>
      </c>
      <c r="F67" s="2">
        <v>4.6956521739130404</v>
      </c>
      <c r="G67" s="39"/>
      <c r="H67" s="2">
        <v>1.13212491810438</v>
      </c>
      <c r="I67" s="2">
        <v>0.69565217391304301</v>
      </c>
      <c r="J67" s="2">
        <v>0.167722210089539</v>
      </c>
      <c r="K67" s="2">
        <v>0</v>
      </c>
      <c r="L67" s="2">
        <v>10</v>
      </c>
      <c r="M67" s="2">
        <v>0</v>
      </c>
      <c r="N67" s="2">
        <v>0</v>
      </c>
      <c r="O67" s="2">
        <v>10.0625</v>
      </c>
      <c r="P67" s="2">
        <v>14.338478260869501</v>
      </c>
      <c r="Q67" s="2">
        <v>9.5597826086956506</v>
      </c>
      <c r="R67" s="2">
        <v>5.7618868748635004</v>
      </c>
      <c r="S67" s="2">
        <v>31.561956521739098</v>
      </c>
      <c r="T67" s="2">
        <v>0</v>
      </c>
      <c r="U67" s="2">
        <v>7.60960908495304</v>
      </c>
      <c r="V67" s="2">
        <v>11.2176086956521</v>
      </c>
      <c r="W67" s="2">
        <v>19.464673913043399</v>
      </c>
      <c r="X67" s="2">
        <v>0</v>
      </c>
      <c r="Y67" s="2">
        <v>7.3975191089757599</v>
      </c>
      <c r="Z67" s="2">
        <v>23.444130434782601</v>
      </c>
      <c r="AA67" s="2">
        <v>22.4991304347826</v>
      </c>
      <c r="AB67" s="2">
        <v>0</v>
      </c>
      <c r="AC67" s="2">
        <v>11.0769512994103</v>
      </c>
      <c r="AD67" s="2">
        <v>0</v>
      </c>
      <c r="AE67" s="2">
        <v>0</v>
      </c>
      <c r="AF67" s="2">
        <v>0.60869565217391297</v>
      </c>
      <c r="AG67" s="2">
        <v>0</v>
      </c>
      <c r="AH67" s="2">
        <v>0</v>
      </c>
      <c r="AI67" s="2">
        <v>0</v>
      </c>
      <c r="AJ67" s="2">
        <v>4.2173913043478199</v>
      </c>
      <c r="AK67">
        <v>335765</v>
      </c>
      <c r="AL67" s="39">
        <v>2</v>
      </c>
    </row>
    <row r="68" spans="1:38" hidden="1" x14ac:dyDescent="0.2">
      <c r="A68" t="s">
        <v>90</v>
      </c>
      <c r="B68" t="s">
        <v>198</v>
      </c>
      <c r="C68" t="s">
        <v>113</v>
      </c>
      <c r="D68" t="s">
        <v>114</v>
      </c>
      <c r="E68" s="2">
        <v>103.858695652173</v>
      </c>
      <c r="F68" s="2">
        <v>9.2905434782608705</v>
      </c>
      <c r="G68" s="39"/>
      <c r="H68" s="2">
        <v>5.3672213500784904</v>
      </c>
      <c r="I68" s="2">
        <v>1.9845652173913</v>
      </c>
      <c r="J68" s="2">
        <v>1.1464992150706399</v>
      </c>
      <c r="K68" s="2">
        <v>0</v>
      </c>
      <c r="L68" s="2">
        <v>4</v>
      </c>
      <c r="M68" s="2">
        <v>0</v>
      </c>
      <c r="N68" s="2">
        <v>0</v>
      </c>
      <c r="O68" s="2">
        <v>4.8369565217391299</v>
      </c>
      <c r="P68" s="2">
        <v>5.4721739130434699</v>
      </c>
      <c r="Q68" s="2">
        <v>2.9460869565217398</v>
      </c>
      <c r="R68" s="2">
        <v>4.8632967032967001</v>
      </c>
      <c r="S68" s="2">
        <v>1.3257608695652101</v>
      </c>
      <c r="T68" s="2">
        <v>11.2177173913043</v>
      </c>
      <c r="U68" s="2">
        <v>7.2464678178963897</v>
      </c>
      <c r="V68" s="2">
        <v>4.9565217391304301</v>
      </c>
      <c r="W68" s="2">
        <v>2.9565217391304301</v>
      </c>
      <c r="X68" s="2">
        <v>0</v>
      </c>
      <c r="Y68" s="2">
        <v>4.5714285714285703</v>
      </c>
      <c r="Z68" s="2">
        <v>8.4782608695652097</v>
      </c>
      <c r="AA68" s="2">
        <v>6.5570652173913002</v>
      </c>
      <c r="AB68" s="2">
        <v>0</v>
      </c>
      <c r="AC68" s="2">
        <v>8.6860282574568295</v>
      </c>
      <c r="AD68" s="2">
        <v>0</v>
      </c>
      <c r="AE68" s="2">
        <v>0</v>
      </c>
      <c r="AF68" s="2">
        <v>0</v>
      </c>
      <c r="AG68" s="2">
        <v>0</v>
      </c>
      <c r="AH68" s="2">
        <v>0</v>
      </c>
      <c r="AI68" s="2">
        <v>0</v>
      </c>
      <c r="AJ68" s="2">
        <v>0</v>
      </c>
      <c r="AK68">
        <v>335613</v>
      </c>
      <c r="AL68" s="39">
        <v>2</v>
      </c>
    </row>
    <row r="69" spans="1:38" x14ac:dyDescent="0.2">
      <c r="A69" t="s">
        <v>90</v>
      </c>
      <c r="B69" t="s">
        <v>199</v>
      </c>
      <c r="C69" t="s">
        <v>200</v>
      </c>
      <c r="D69" t="s">
        <v>114</v>
      </c>
      <c r="E69" s="2">
        <v>101.29347826086899</v>
      </c>
      <c r="F69" s="2">
        <v>5.5652173913043397</v>
      </c>
      <c r="G69" s="39"/>
      <c r="H69" s="2">
        <v>3.29649103981113</v>
      </c>
      <c r="I69" s="2">
        <v>0</v>
      </c>
      <c r="J69" s="2">
        <v>0</v>
      </c>
      <c r="K69" s="2">
        <v>0</v>
      </c>
      <c r="L69" s="2">
        <v>4.7038043478260798</v>
      </c>
      <c r="M69" s="2">
        <v>0</v>
      </c>
      <c r="N69" s="2">
        <v>0</v>
      </c>
      <c r="O69" s="2">
        <v>5.3885869565217304</v>
      </c>
      <c r="P69" s="2">
        <v>5.5298913043478199</v>
      </c>
      <c r="Q69" s="2">
        <v>0</v>
      </c>
      <c r="R69" s="2">
        <v>3.2755660478592099</v>
      </c>
      <c r="S69" s="2">
        <v>4.7826086956521703</v>
      </c>
      <c r="T69" s="2">
        <v>15.4266304347826</v>
      </c>
      <c r="U69" s="2">
        <v>11.970705011267301</v>
      </c>
      <c r="V69" s="2">
        <v>7.0380434782608603</v>
      </c>
      <c r="W69" s="2">
        <v>5.69293478260869</v>
      </c>
      <c r="X69" s="2">
        <v>0</v>
      </c>
      <c r="Y69" s="2">
        <v>7.54104517652108</v>
      </c>
      <c r="Z69" s="2">
        <v>7.1095652173913004</v>
      </c>
      <c r="AA69" s="2">
        <v>0</v>
      </c>
      <c r="AB69" s="2">
        <v>0</v>
      </c>
      <c r="AC69" s="2">
        <v>4.2112673033587296</v>
      </c>
      <c r="AD69" s="2">
        <v>0</v>
      </c>
      <c r="AE69" s="2">
        <v>0</v>
      </c>
      <c r="AF69" s="2">
        <v>0</v>
      </c>
      <c r="AG69" s="2">
        <v>0</v>
      </c>
      <c r="AH69" s="2">
        <v>0</v>
      </c>
      <c r="AI69" s="2">
        <v>0</v>
      </c>
      <c r="AJ69" s="2">
        <v>0</v>
      </c>
      <c r="AK69">
        <v>335323</v>
      </c>
      <c r="AL69" s="39">
        <v>2</v>
      </c>
    </row>
    <row r="70" spans="1:38" x14ac:dyDescent="0.2">
      <c r="A70" t="s">
        <v>90</v>
      </c>
      <c r="B70" t="s">
        <v>201</v>
      </c>
      <c r="C70" t="s">
        <v>202</v>
      </c>
      <c r="D70" t="s">
        <v>94</v>
      </c>
      <c r="E70" s="2">
        <v>84.9673913043478</v>
      </c>
      <c r="F70" s="2">
        <v>5.5652173913043397</v>
      </c>
      <c r="G70" s="39"/>
      <c r="H70" s="2">
        <v>3.9298963796852999</v>
      </c>
      <c r="I70" s="2">
        <v>0</v>
      </c>
      <c r="J70" s="2">
        <v>0</v>
      </c>
      <c r="K70" s="2">
        <v>0</v>
      </c>
      <c r="L70" s="2">
        <v>4.2592391304347803</v>
      </c>
      <c r="M70" s="2">
        <v>0</v>
      </c>
      <c r="N70" s="2">
        <v>0</v>
      </c>
      <c r="O70" s="2">
        <v>4.7282608695652097</v>
      </c>
      <c r="P70" s="2">
        <v>5.3913043478260798</v>
      </c>
      <c r="Q70" s="2">
        <v>6.4619565217391299</v>
      </c>
      <c r="R70" s="2">
        <v>8.3702187539976904</v>
      </c>
      <c r="S70" s="2">
        <v>5.13043478260869</v>
      </c>
      <c r="T70" s="2">
        <v>15.173913043478199</v>
      </c>
      <c r="U70" s="2">
        <v>14.337981322758001</v>
      </c>
      <c r="V70" s="2">
        <v>12.284021739130401</v>
      </c>
      <c r="W70" s="2">
        <v>14.6628260869565</v>
      </c>
      <c r="X70" s="2">
        <v>0</v>
      </c>
      <c r="Y70" s="2">
        <v>19.028604323909398</v>
      </c>
      <c r="Z70" s="2">
        <v>7.6114130434782599</v>
      </c>
      <c r="AA70" s="2">
        <v>9.6277173913043406</v>
      </c>
      <c r="AB70" s="2">
        <v>0</v>
      </c>
      <c r="AC70" s="2">
        <v>12.173468082384501</v>
      </c>
      <c r="AD70" s="2">
        <v>0</v>
      </c>
      <c r="AE70" s="2">
        <v>0</v>
      </c>
      <c r="AF70" s="2">
        <v>0</v>
      </c>
      <c r="AG70" s="2">
        <v>0</v>
      </c>
      <c r="AH70" s="2">
        <v>0</v>
      </c>
      <c r="AI70" s="2">
        <v>0</v>
      </c>
      <c r="AJ70" s="2">
        <v>0</v>
      </c>
      <c r="AK70">
        <v>335003</v>
      </c>
      <c r="AL70" s="39">
        <v>2</v>
      </c>
    </row>
    <row r="71" spans="1:38" hidden="1" x14ac:dyDescent="0.2">
      <c r="A71" t="s">
        <v>90</v>
      </c>
      <c r="B71" t="s">
        <v>203</v>
      </c>
      <c r="C71" t="s">
        <v>137</v>
      </c>
      <c r="D71" t="s">
        <v>94</v>
      </c>
      <c r="E71" s="2">
        <v>149.739130434782</v>
      </c>
      <c r="F71" s="2">
        <v>5.5652173913043397</v>
      </c>
      <c r="G71" s="39"/>
      <c r="H71" s="2">
        <v>2.2299651567944201</v>
      </c>
      <c r="I71" s="2">
        <v>1.5434782608695601</v>
      </c>
      <c r="J71" s="2">
        <v>0.61846689895470297</v>
      </c>
      <c r="K71" s="2">
        <v>0</v>
      </c>
      <c r="L71" s="2">
        <v>15.820652173913</v>
      </c>
      <c r="M71" s="2">
        <v>0</v>
      </c>
      <c r="N71" s="2">
        <v>0</v>
      </c>
      <c r="O71" s="2">
        <v>10.3016304347826</v>
      </c>
      <c r="P71" s="2">
        <v>14.880434782608599</v>
      </c>
      <c r="Q71" s="2">
        <v>3.89673913043478</v>
      </c>
      <c r="R71" s="2">
        <v>7.5239547038327501</v>
      </c>
      <c r="S71" s="2">
        <v>9.4782608695652097</v>
      </c>
      <c r="T71" s="2">
        <v>14.755434782608599</v>
      </c>
      <c r="U71" s="2">
        <v>9.71036585365853</v>
      </c>
      <c r="V71" s="2">
        <v>11.1168478260869</v>
      </c>
      <c r="W71" s="2">
        <v>19.657608695652101</v>
      </c>
      <c r="X71" s="2">
        <v>0</v>
      </c>
      <c r="Y71" s="2">
        <v>12.331228222996501</v>
      </c>
      <c r="Z71" s="2">
        <v>16.385869565217298</v>
      </c>
      <c r="AA71" s="2">
        <v>15.016304347826001</v>
      </c>
      <c r="AB71" s="2">
        <v>0</v>
      </c>
      <c r="AC71" s="2">
        <v>12.5827526132404</v>
      </c>
      <c r="AD71" s="2">
        <v>0</v>
      </c>
      <c r="AE71" s="2">
        <v>1.0625</v>
      </c>
      <c r="AF71" s="2">
        <v>0</v>
      </c>
      <c r="AG71" s="2">
        <v>0</v>
      </c>
      <c r="AH71" s="2">
        <v>5.13043478260869</v>
      </c>
      <c r="AI71" s="2">
        <v>0</v>
      </c>
      <c r="AJ71" s="2">
        <v>0</v>
      </c>
      <c r="AK71">
        <v>335312</v>
      </c>
      <c r="AL71" s="39">
        <v>2</v>
      </c>
    </row>
    <row r="72" spans="1:38" x14ac:dyDescent="0.2">
      <c r="A72" t="s">
        <v>90</v>
      </c>
      <c r="B72" t="s">
        <v>204</v>
      </c>
      <c r="C72" t="s">
        <v>140</v>
      </c>
      <c r="D72" t="s">
        <v>114</v>
      </c>
      <c r="E72" s="2">
        <v>150.423913043478</v>
      </c>
      <c r="F72" s="2">
        <v>4.0326086956521703</v>
      </c>
      <c r="G72" s="39"/>
      <c r="H72" s="2">
        <v>1.6084977238239699</v>
      </c>
      <c r="I72" s="2">
        <v>0</v>
      </c>
      <c r="J72" s="2">
        <v>0</v>
      </c>
      <c r="K72" s="2">
        <v>0</v>
      </c>
      <c r="L72" s="2">
        <v>0</v>
      </c>
      <c r="M72" s="2">
        <v>0</v>
      </c>
      <c r="N72" s="2">
        <v>0</v>
      </c>
      <c r="O72" s="2">
        <v>4.0597826086956497</v>
      </c>
      <c r="P72" s="2">
        <v>11.3967391304347</v>
      </c>
      <c r="Q72" s="2">
        <v>0</v>
      </c>
      <c r="R72" s="2">
        <v>4.5458486884890501</v>
      </c>
      <c r="S72" s="2">
        <v>0</v>
      </c>
      <c r="T72" s="2">
        <v>25.692934782608599</v>
      </c>
      <c r="U72" s="2">
        <v>10.2482115759809</v>
      </c>
      <c r="V72" s="2">
        <v>4.3858695652173898</v>
      </c>
      <c r="W72" s="2">
        <v>8.4347826086956506</v>
      </c>
      <c r="X72" s="2">
        <v>0</v>
      </c>
      <c r="Y72" s="2">
        <v>5.1138088012139598</v>
      </c>
      <c r="Z72" s="2">
        <v>18.423913043478201</v>
      </c>
      <c r="AA72" s="2">
        <v>8.2635869565217295</v>
      </c>
      <c r="AB72" s="2">
        <v>0</v>
      </c>
      <c r="AC72" s="2">
        <v>10.6449165402124</v>
      </c>
      <c r="AD72" s="2">
        <v>0</v>
      </c>
      <c r="AE72" s="2">
        <v>0</v>
      </c>
      <c r="AF72" s="2">
        <v>0</v>
      </c>
      <c r="AG72" s="2">
        <v>88.502717391304301</v>
      </c>
      <c r="AH72" s="2">
        <v>0</v>
      </c>
      <c r="AI72" s="2">
        <v>0</v>
      </c>
      <c r="AJ72" s="2">
        <v>0</v>
      </c>
      <c r="AK72">
        <v>335827</v>
      </c>
      <c r="AL72" s="39">
        <v>2</v>
      </c>
    </row>
    <row r="73" spans="1:38" x14ac:dyDescent="0.2">
      <c r="A73" t="s">
        <v>90</v>
      </c>
      <c r="B73" t="s">
        <v>205</v>
      </c>
      <c r="C73" t="s">
        <v>206</v>
      </c>
      <c r="D73" t="s">
        <v>42</v>
      </c>
      <c r="E73" s="2">
        <v>225.119565217391</v>
      </c>
      <c r="F73" s="2">
        <v>4.8913043478260798</v>
      </c>
      <c r="G73" s="39"/>
      <c r="H73" s="2">
        <v>1.3036550625271499</v>
      </c>
      <c r="I73" s="2">
        <v>0</v>
      </c>
      <c r="J73" s="2">
        <v>0</v>
      </c>
      <c r="K73" s="2">
        <v>0</v>
      </c>
      <c r="L73" s="2">
        <v>0</v>
      </c>
      <c r="M73" s="2">
        <v>0</v>
      </c>
      <c r="N73" s="2">
        <v>0</v>
      </c>
      <c r="O73" s="2">
        <v>5.6385869565217304</v>
      </c>
      <c r="P73" s="2">
        <v>18.831521739130402</v>
      </c>
      <c r="Q73" s="2">
        <v>0</v>
      </c>
      <c r="R73" s="2">
        <v>5.01907199072956</v>
      </c>
      <c r="S73" s="2">
        <v>0</v>
      </c>
      <c r="T73" s="2">
        <v>40.135869565217298</v>
      </c>
      <c r="U73" s="2">
        <v>10.6972140408478</v>
      </c>
      <c r="V73" s="2">
        <v>16.595108695652101</v>
      </c>
      <c r="W73" s="2">
        <v>13.149456521739101</v>
      </c>
      <c r="X73" s="2">
        <v>0</v>
      </c>
      <c r="Y73" s="2">
        <v>7.9276712857901597</v>
      </c>
      <c r="Z73" s="2">
        <v>36.451086956521699</v>
      </c>
      <c r="AA73" s="2">
        <v>2.1902173913043401</v>
      </c>
      <c r="AB73" s="2">
        <v>4.7282608695652097</v>
      </c>
      <c r="AC73" s="2">
        <v>11.559074887740801</v>
      </c>
      <c r="AD73" s="2">
        <v>0</v>
      </c>
      <c r="AE73" s="2">
        <v>0</v>
      </c>
      <c r="AF73" s="2">
        <v>0</v>
      </c>
      <c r="AG73" s="2">
        <v>5.6657608695652097</v>
      </c>
      <c r="AH73" s="2">
        <v>0</v>
      </c>
      <c r="AI73" s="2">
        <v>0</v>
      </c>
      <c r="AJ73" s="2">
        <v>0</v>
      </c>
      <c r="AK73">
        <v>335565</v>
      </c>
      <c r="AL73" s="39">
        <v>2</v>
      </c>
    </row>
    <row r="74" spans="1:38" x14ac:dyDescent="0.2">
      <c r="A74" t="s">
        <v>90</v>
      </c>
      <c r="B74" t="s">
        <v>207</v>
      </c>
      <c r="C74" t="s">
        <v>208</v>
      </c>
      <c r="D74" t="s">
        <v>114</v>
      </c>
      <c r="E74" s="2">
        <v>107.673913043478</v>
      </c>
      <c r="F74" s="2">
        <v>1.7934782608695601</v>
      </c>
      <c r="G74" s="39"/>
      <c r="H74" s="2">
        <v>0.99939430648091998</v>
      </c>
      <c r="I74" s="2">
        <v>0</v>
      </c>
      <c r="J74" s="2">
        <v>0</v>
      </c>
      <c r="K74" s="2">
        <v>0</v>
      </c>
      <c r="L74" s="2">
        <v>3.0978260869565202</v>
      </c>
      <c r="M74" s="2">
        <v>0</v>
      </c>
      <c r="N74" s="2">
        <v>0</v>
      </c>
      <c r="O74" s="2">
        <v>4.3641304347826004</v>
      </c>
      <c r="P74" s="2">
        <v>9.5788043478260807</v>
      </c>
      <c r="Q74" s="2">
        <v>0</v>
      </c>
      <c r="R74" s="2">
        <v>5.3376741368867302</v>
      </c>
      <c r="S74" s="2">
        <v>8.7201086956521703</v>
      </c>
      <c r="T74" s="2">
        <v>18.380434782608599</v>
      </c>
      <c r="U74" s="2">
        <v>15.1014536644457</v>
      </c>
      <c r="V74" s="2">
        <v>4.5923913043478199</v>
      </c>
      <c r="W74" s="2">
        <v>11.5978260869565</v>
      </c>
      <c r="X74" s="2">
        <v>0</v>
      </c>
      <c r="Y74" s="2">
        <v>9.0218049666868492</v>
      </c>
      <c r="Z74" s="2">
        <v>19.644021739130402</v>
      </c>
      <c r="AA74" s="2">
        <v>0.404891304347826</v>
      </c>
      <c r="AB74" s="2">
        <v>0</v>
      </c>
      <c r="AC74" s="2">
        <v>11.172016959418499</v>
      </c>
      <c r="AD74" s="2">
        <v>0</v>
      </c>
      <c r="AE74" s="2">
        <v>0</v>
      </c>
      <c r="AF74" s="2">
        <v>0</v>
      </c>
      <c r="AG74" s="2">
        <v>59.008152173912997</v>
      </c>
      <c r="AH74" s="2">
        <v>0</v>
      </c>
      <c r="AI74" s="2">
        <v>0</v>
      </c>
      <c r="AJ74" s="2">
        <v>0</v>
      </c>
      <c r="AK74">
        <v>335458</v>
      </c>
      <c r="AL74" s="39">
        <v>2</v>
      </c>
    </row>
    <row r="75" spans="1:38" x14ac:dyDescent="0.2">
      <c r="A75" t="s">
        <v>90</v>
      </c>
      <c r="B75" t="s">
        <v>209</v>
      </c>
      <c r="C75" t="s">
        <v>210</v>
      </c>
      <c r="D75" t="s">
        <v>94</v>
      </c>
      <c r="E75" s="2">
        <v>155.239130434782</v>
      </c>
      <c r="F75" s="2">
        <v>5.5652173913043397</v>
      </c>
      <c r="G75" s="39"/>
      <c r="H75" s="2">
        <v>2.1509592494048402</v>
      </c>
      <c r="I75" s="2">
        <v>0</v>
      </c>
      <c r="J75" s="2">
        <v>0</v>
      </c>
      <c r="K75" s="2">
        <v>0</v>
      </c>
      <c r="L75" s="2">
        <v>24.852717391304299</v>
      </c>
      <c r="M75" s="2">
        <v>0</v>
      </c>
      <c r="N75" s="2">
        <v>0</v>
      </c>
      <c r="O75" s="2">
        <v>9.5193478260869497</v>
      </c>
      <c r="P75" s="2">
        <v>13.918804347826001</v>
      </c>
      <c r="Q75" s="2">
        <v>0</v>
      </c>
      <c r="R75" s="2">
        <v>5.37962470242263</v>
      </c>
      <c r="S75" s="2">
        <v>5.2173913043478199</v>
      </c>
      <c r="T75" s="2">
        <v>14.799130434782599</v>
      </c>
      <c r="U75" s="2">
        <v>7.7363954628203304</v>
      </c>
      <c r="V75" s="2">
        <v>19.2601086956521</v>
      </c>
      <c r="W75" s="2">
        <v>32.120978260869499</v>
      </c>
      <c r="X75" s="2">
        <v>0</v>
      </c>
      <c r="Y75" s="2">
        <v>19.858815291975901</v>
      </c>
      <c r="Z75" s="2">
        <v>24.199456521739101</v>
      </c>
      <c r="AA75" s="2">
        <v>12.727717391304299</v>
      </c>
      <c r="AB75" s="2">
        <v>0</v>
      </c>
      <c r="AC75" s="2">
        <v>14.272370816412201</v>
      </c>
      <c r="AD75" s="2">
        <v>0</v>
      </c>
      <c r="AE75" s="2">
        <v>0.992717391304347</v>
      </c>
      <c r="AF75" s="2">
        <v>0</v>
      </c>
      <c r="AG75" s="2">
        <v>0</v>
      </c>
      <c r="AH75" s="2">
        <v>0</v>
      </c>
      <c r="AI75" s="2">
        <v>0</v>
      </c>
      <c r="AJ75" s="2">
        <v>0</v>
      </c>
      <c r="AK75">
        <v>335809</v>
      </c>
      <c r="AL75" s="39">
        <v>2</v>
      </c>
    </row>
    <row r="76" spans="1:38" hidden="1" x14ac:dyDescent="0.2">
      <c r="A76" t="s">
        <v>90</v>
      </c>
      <c r="B76" t="s">
        <v>211</v>
      </c>
      <c r="C76" t="s">
        <v>210</v>
      </c>
      <c r="D76" t="s">
        <v>94</v>
      </c>
      <c r="E76" s="2">
        <v>16.086956521739101</v>
      </c>
      <c r="F76" s="2">
        <v>4.8913043478260798</v>
      </c>
      <c r="G76" s="39"/>
      <c r="H76" s="2">
        <v>18.243243243243199</v>
      </c>
      <c r="I76" s="2">
        <v>0.42391304347825998</v>
      </c>
      <c r="J76" s="2">
        <v>1.58108108108108</v>
      </c>
      <c r="K76" s="2">
        <v>0.22826086956521699</v>
      </c>
      <c r="L76" s="2">
        <v>1.3954347826086899</v>
      </c>
      <c r="M76" s="2">
        <v>0</v>
      </c>
      <c r="N76" s="2">
        <v>0</v>
      </c>
      <c r="O76" s="2">
        <v>0.40097826086956501</v>
      </c>
      <c r="P76" s="2">
        <v>3.9779347826086902</v>
      </c>
      <c r="Q76" s="2">
        <v>0</v>
      </c>
      <c r="R76" s="2">
        <v>14.8366216216216</v>
      </c>
      <c r="S76" s="2">
        <v>0</v>
      </c>
      <c r="T76" s="2">
        <v>3.0298913043478199</v>
      </c>
      <c r="U76" s="2">
        <v>11.300675675675601</v>
      </c>
      <c r="V76" s="2">
        <v>5.41869565217391</v>
      </c>
      <c r="W76" s="2">
        <v>0</v>
      </c>
      <c r="X76" s="2">
        <v>0</v>
      </c>
      <c r="Y76" s="2">
        <v>20.2102702702702</v>
      </c>
      <c r="Z76" s="2">
        <v>5.0344565217391297</v>
      </c>
      <c r="AA76" s="2">
        <v>0</v>
      </c>
      <c r="AB76" s="2">
        <v>0</v>
      </c>
      <c r="AC76" s="2">
        <v>18.777162162162099</v>
      </c>
      <c r="AD76" s="2">
        <v>0</v>
      </c>
      <c r="AE76" s="2">
        <v>0</v>
      </c>
      <c r="AF76" s="2">
        <v>0</v>
      </c>
      <c r="AG76" s="2">
        <v>0</v>
      </c>
      <c r="AH76" s="2">
        <v>0</v>
      </c>
      <c r="AI76" s="2">
        <v>0</v>
      </c>
      <c r="AJ76" s="2">
        <v>0</v>
      </c>
      <c r="AK76">
        <v>335844</v>
      </c>
      <c r="AL76" s="39">
        <v>2</v>
      </c>
    </row>
    <row r="77" spans="1:38" x14ac:dyDescent="0.2">
      <c r="A77" t="s">
        <v>90</v>
      </c>
      <c r="B77" t="s">
        <v>212</v>
      </c>
      <c r="C77" t="s">
        <v>213</v>
      </c>
      <c r="D77" t="s">
        <v>94</v>
      </c>
      <c r="E77" s="2">
        <v>278.59782608695599</v>
      </c>
      <c r="F77" s="2">
        <v>7.8016304347826004</v>
      </c>
      <c r="G77" s="39"/>
      <c r="H77" s="2">
        <v>1.68019195505442</v>
      </c>
      <c r="I77" s="2">
        <v>0</v>
      </c>
      <c r="J77" s="2">
        <v>0</v>
      </c>
      <c r="K77" s="2">
        <v>0</v>
      </c>
      <c r="L77" s="2">
        <v>12.6440217391304</v>
      </c>
      <c r="M77" s="2">
        <v>0</v>
      </c>
      <c r="N77" s="2">
        <v>0</v>
      </c>
      <c r="O77" s="2">
        <v>6.2886956521739101</v>
      </c>
      <c r="P77" s="2">
        <v>24.201086956521699</v>
      </c>
      <c r="Q77" s="2">
        <v>0</v>
      </c>
      <c r="R77" s="2">
        <v>5.2120479107330899</v>
      </c>
      <c r="S77" s="2">
        <v>16.728260869565201</v>
      </c>
      <c r="T77" s="2">
        <v>21.138586956521699</v>
      </c>
      <c r="U77" s="2">
        <v>8.1551636689945699</v>
      </c>
      <c r="V77" s="2">
        <v>16.632608695652099</v>
      </c>
      <c r="W77" s="2">
        <v>5.9736956521739097</v>
      </c>
      <c r="X77" s="2">
        <v>0</v>
      </c>
      <c r="Y77" s="2">
        <v>4.86858881822792</v>
      </c>
      <c r="Z77" s="2">
        <v>20.4115217391304</v>
      </c>
      <c r="AA77" s="2">
        <v>1.08423913043478</v>
      </c>
      <c r="AB77" s="2">
        <v>0</v>
      </c>
      <c r="AC77" s="2">
        <v>4.6294175022433697</v>
      </c>
      <c r="AD77" s="2">
        <v>0</v>
      </c>
      <c r="AE77" s="2">
        <v>8.3423913043478208</v>
      </c>
      <c r="AF77" s="2">
        <v>0</v>
      </c>
      <c r="AG77" s="2">
        <v>0</v>
      </c>
      <c r="AH77" s="2">
        <v>0</v>
      </c>
      <c r="AI77" s="2">
        <v>0</v>
      </c>
      <c r="AJ77" s="2">
        <v>0</v>
      </c>
      <c r="AK77">
        <v>335296</v>
      </c>
      <c r="AL77" s="39">
        <v>2</v>
      </c>
    </row>
    <row r="78" spans="1:38" hidden="1" x14ac:dyDescent="0.2">
      <c r="A78" t="s">
        <v>90</v>
      </c>
      <c r="B78" t="s">
        <v>214</v>
      </c>
      <c r="C78" t="s">
        <v>86</v>
      </c>
      <c r="D78" t="s">
        <v>94</v>
      </c>
      <c r="E78" s="2">
        <v>77.423913043478194</v>
      </c>
      <c r="F78" s="2">
        <v>3.9456521739130399</v>
      </c>
      <c r="G78" s="39"/>
      <c r="H78" s="2">
        <v>3.0577004071318199</v>
      </c>
      <c r="I78" s="2">
        <v>2.8695652173913002</v>
      </c>
      <c r="J78" s="2">
        <v>2.2237821142776899</v>
      </c>
      <c r="K78" s="2">
        <v>0</v>
      </c>
      <c r="L78" s="2">
        <v>4.1956521739130404</v>
      </c>
      <c r="M78" s="2">
        <v>0</v>
      </c>
      <c r="N78" s="2">
        <v>0</v>
      </c>
      <c r="O78" s="2">
        <v>3.1826086956521702</v>
      </c>
      <c r="P78" s="2">
        <v>4.2391304347826004</v>
      </c>
      <c r="Q78" s="2">
        <v>4.1576086956521703</v>
      </c>
      <c r="R78" s="2">
        <v>6.5070897093921003</v>
      </c>
      <c r="S78" s="2">
        <v>27.122282608695599</v>
      </c>
      <c r="T78" s="2">
        <v>0</v>
      </c>
      <c r="U78" s="2">
        <v>21.0185315176189</v>
      </c>
      <c r="V78" s="2">
        <v>15.211956521739101</v>
      </c>
      <c r="W78" s="2">
        <v>18.7880434782608</v>
      </c>
      <c r="X78" s="2">
        <v>0</v>
      </c>
      <c r="Y78" s="2">
        <v>26.3484486873508</v>
      </c>
      <c r="Z78" s="2">
        <v>29.157608695652101</v>
      </c>
      <c r="AA78" s="2">
        <v>9.5163043478260807</v>
      </c>
      <c r="AB78" s="2">
        <v>4.4157608695652097</v>
      </c>
      <c r="AC78" s="2">
        <v>33.392531236838401</v>
      </c>
      <c r="AD78" s="2">
        <v>0</v>
      </c>
      <c r="AE78" s="2">
        <v>0</v>
      </c>
      <c r="AF78" s="2">
        <v>0</v>
      </c>
      <c r="AG78" s="2">
        <v>0</v>
      </c>
      <c r="AH78" s="2">
        <v>0</v>
      </c>
      <c r="AI78" s="2">
        <v>0</v>
      </c>
      <c r="AJ78" s="2">
        <v>0</v>
      </c>
      <c r="AK78">
        <v>335797</v>
      </c>
      <c r="AL78" s="39">
        <v>2</v>
      </c>
    </row>
    <row r="79" spans="1:38" hidden="1" x14ac:dyDescent="0.2">
      <c r="A79" t="s">
        <v>90</v>
      </c>
      <c r="B79" t="s">
        <v>215</v>
      </c>
      <c r="C79" t="s">
        <v>216</v>
      </c>
      <c r="D79" t="s">
        <v>94</v>
      </c>
      <c r="E79" s="2">
        <v>282.06521739130397</v>
      </c>
      <c r="F79" s="2">
        <v>11.2173913043478</v>
      </c>
      <c r="G79" s="39"/>
      <c r="H79" s="2">
        <v>2.38612716763005</v>
      </c>
      <c r="I79" s="2">
        <v>0.71782608695652095</v>
      </c>
      <c r="J79" s="2">
        <v>0.15269364161849699</v>
      </c>
      <c r="K79" s="2">
        <v>0</v>
      </c>
      <c r="L79" s="2">
        <v>19.765543478260799</v>
      </c>
      <c r="M79" s="2">
        <v>0</v>
      </c>
      <c r="N79" s="2">
        <v>0</v>
      </c>
      <c r="O79" s="2">
        <v>17.779565217391301</v>
      </c>
      <c r="P79" s="2">
        <v>20.791521739130399</v>
      </c>
      <c r="Q79" s="2">
        <v>0</v>
      </c>
      <c r="R79" s="2">
        <v>4.4227052023121303</v>
      </c>
      <c r="S79" s="2">
        <v>4.6956521739130404</v>
      </c>
      <c r="T79" s="2">
        <v>26.688152173913</v>
      </c>
      <c r="U79" s="2">
        <v>6.6758612716762897</v>
      </c>
      <c r="V79" s="2">
        <v>25.0820652173913</v>
      </c>
      <c r="W79" s="2">
        <v>36.355543478260799</v>
      </c>
      <c r="X79" s="2">
        <v>0</v>
      </c>
      <c r="Y79" s="2">
        <v>13.068809248554899</v>
      </c>
      <c r="Z79" s="2">
        <v>18.793369565217301</v>
      </c>
      <c r="AA79" s="2">
        <v>37.683043478260799</v>
      </c>
      <c r="AB79" s="2">
        <v>0</v>
      </c>
      <c r="AC79" s="2">
        <v>12.0134797687861</v>
      </c>
      <c r="AD79" s="2">
        <v>0</v>
      </c>
      <c r="AE79" s="2">
        <v>0</v>
      </c>
      <c r="AF79" s="2">
        <v>0</v>
      </c>
      <c r="AG79" s="2">
        <v>0</v>
      </c>
      <c r="AH79" s="2">
        <v>0</v>
      </c>
      <c r="AI79" s="2">
        <v>0</v>
      </c>
      <c r="AJ79" s="2">
        <v>0</v>
      </c>
      <c r="AK79">
        <v>335261</v>
      </c>
      <c r="AL79" s="39">
        <v>2</v>
      </c>
    </row>
    <row r="80" spans="1:38" hidden="1" x14ac:dyDescent="0.2">
      <c r="A80" t="s">
        <v>90</v>
      </c>
      <c r="B80" t="s">
        <v>217</v>
      </c>
      <c r="C80" t="s">
        <v>127</v>
      </c>
      <c r="D80" t="s">
        <v>40</v>
      </c>
      <c r="E80" s="2">
        <v>131.59782608695599</v>
      </c>
      <c r="F80" s="2">
        <v>5.7391304347826004</v>
      </c>
      <c r="G80" s="39"/>
      <c r="H80" s="2">
        <v>2.6166680432807401</v>
      </c>
      <c r="I80" s="2">
        <v>1.38043478260869</v>
      </c>
      <c r="J80" s="2">
        <v>0.62938795738002795</v>
      </c>
      <c r="K80" s="2">
        <v>0.71739130434782605</v>
      </c>
      <c r="L80" s="2">
        <v>3.9945652173913002</v>
      </c>
      <c r="M80" s="2">
        <v>0</v>
      </c>
      <c r="N80" s="2">
        <v>0</v>
      </c>
      <c r="O80" s="2">
        <v>4.4972826086956497</v>
      </c>
      <c r="P80" s="2">
        <v>0</v>
      </c>
      <c r="Q80" s="2">
        <v>5.2282608695652097</v>
      </c>
      <c r="R80" s="2">
        <v>2.3837449409432501</v>
      </c>
      <c r="S80" s="2">
        <v>5.3913043478260798</v>
      </c>
      <c r="T80" s="2">
        <v>16.752717391304301</v>
      </c>
      <c r="U80" s="2">
        <v>10.0962253241926</v>
      </c>
      <c r="V80" s="2">
        <v>12.0978260869565</v>
      </c>
      <c r="W80" s="2">
        <v>11.0380434782608</v>
      </c>
      <c r="X80" s="2">
        <v>0</v>
      </c>
      <c r="Y80" s="2">
        <v>10.5484430494755</v>
      </c>
      <c r="Z80" s="2">
        <v>9.1331521739130395</v>
      </c>
      <c r="AA80" s="2">
        <v>8.9864130434782599</v>
      </c>
      <c r="AB80" s="2">
        <v>0</v>
      </c>
      <c r="AC80" s="2">
        <v>8.2613364169488701</v>
      </c>
      <c r="AD80" s="2">
        <v>0</v>
      </c>
      <c r="AE80" s="2">
        <v>0</v>
      </c>
      <c r="AF80" s="2">
        <v>0</v>
      </c>
      <c r="AG80" s="2">
        <v>0</v>
      </c>
      <c r="AH80" s="2">
        <v>0</v>
      </c>
      <c r="AI80" s="2">
        <v>0</v>
      </c>
      <c r="AJ80" s="2">
        <v>0</v>
      </c>
      <c r="AK80">
        <v>335256</v>
      </c>
      <c r="AL80" s="39">
        <v>2</v>
      </c>
    </row>
    <row r="81" spans="1:38" x14ac:dyDescent="0.2">
      <c r="A81" t="s">
        <v>90</v>
      </c>
      <c r="B81" t="s">
        <v>218</v>
      </c>
      <c r="C81" t="s">
        <v>140</v>
      </c>
      <c r="D81" t="s">
        <v>114</v>
      </c>
      <c r="E81" s="2">
        <v>182.66304347825999</v>
      </c>
      <c r="F81" s="2">
        <v>7.9130434782608603</v>
      </c>
      <c r="G81" s="39"/>
      <c r="H81" s="2">
        <v>2.5992264207081202</v>
      </c>
      <c r="I81" s="2">
        <v>0</v>
      </c>
      <c r="J81" s="2">
        <v>0</v>
      </c>
      <c r="K81" s="2">
        <v>0.38315217391304301</v>
      </c>
      <c r="L81" s="2">
        <v>10.201086956521699</v>
      </c>
      <c r="M81" s="2">
        <v>0</v>
      </c>
      <c r="N81" s="2">
        <v>0</v>
      </c>
      <c r="O81" s="2">
        <v>5.5461956521739104</v>
      </c>
      <c r="P81" s="2">
        <v>10.3315217391304</v>
      </c>
      <c r="Q81" s="2">
        <v>4.75543478260869</v>
      </c>
      <c r="R81" s="2">
        <v>4.9556679559654802</v>
      </c>
      <c r="S81" s="2">
        <v>5.13043478260869</v>
      </c>
      <c r="T81" s="2">
        <v>19.8586956521739</v>
      </c>
      <c r="U81" s="2">
        <v>8.2082713478131506</v>
      </c>
      <c r="V81" s="2">
        <v>13.630434782608599</v>
      </c>
      <c r="W81" s="2">
        <v>15.353260869565201</v>
      </c>
      <c r="X81" s="2">
        <v>0</v>
      </c>
      <c r="Y81" s="2">
        <v>9.5203808390359992</v>
      </c>
      <c r="Z81" s="2">
        <v>12.445652173913</v>
      </c>
      <c r="AA81" s="2">
        <v>15.298913043478199</v>
      </c>
      <c r="AB81" s="2">
        <v>0</v>
      </c>
      <c r="AC81" s="2">
        <v>9.1133591193097292</v>
      </c>
      <c r="AD81" s="2">
        <v>0</v>
      </c>
      <c r="AE81" s="2">
        <v>0</v>
      </c>
      <c r="AF81" s="2">
        <v>0</v>
      </c>
      <c r="AG81" s="2">
        <v>0</v>
      </c>
      <c r="AH81" s="2">
        <v>0</v>
      </c>
      <c r="AI81" s="2">
        <v>0</v>
      </c>
      <c r="AJ81" s="2">
        <v>0</v>
      </c>
      <c r="AK81">
        <v>335440</v>
      </c>
      <c r="AL81" s="39">
        <v>2</v>
      </c>
    </row>
    <row r="82" spans="1:38" x14ac:dyDescent="0.2">
      <c r="A82" t="s">
        <v>90</v>
      </c>
      <c r="B82" t="s">
        <v>219</v>
      </c>
      <c r="C82" t="s">
        <v>210</v>
      </c>
      <c r="D82" t="s">
        <v>94</v>
      </c>
      <c r="E82" s="2">
        <v>23.369565217391301</v>
      </c>
      <c r="F82" s="2">
        <v>2.0108695652173898</v>
      </c>
      <c r="G82" s="39"/>
      <c r="H82" s="2">
        <v>5.16279069767441</v>
      </c>
      <c r="I82" s="2">
        <v>0</v>
      </c>
      <c r="J82" s="2">
        <v>0</v>
      </c>
      <c r="K82" s="2">
        <v>0</v>
      </c>
      <c r="L82" s="2">
        <v>2.5</v>
      </c>
      <c r="M82" s="2">
        <v>0</v>
      </c>
      <c r="N82" s="2">
        <v>0</v>
      </c>
      <c r="O82" s="2">
        <v>2.2946739130434701</v>
      </c>
      <c r="P82" s="2">
        <v>4.0760869565217304</v>
      </c>
      <c r="Q82" s="2">
        <v>0</v>
      </c>
      <c r="R82" s="2">
        <v>10.465116279069701</v>
      </c>
      <c r="S82" s="2">
        <v>0</v>
      </c>
      <c r="T82" s="2">
        <v>0</v>
      </c>
      <c r="U82" s="2">
        <v>0</v>
      </c>
      <c r="V82" s="2">
        <v>4.8704347826086902</v>
      </c>
      <c r="W82" s="2">
        <v>0</v>
      </c>
      <c r="X82" s="2">
        <v>0</v>
      </c>
      <c r="Y82" s="2">
        <v>12.504558139534801</v>
      </c>
      <c r="Z82" s="2">
        <v>4.5495652173912999</v>
      </c>
      <c r="AA82" s="2">
        <v>0</v>
      </c>
      <c r="AB82" s="2">
        <v>0</v>
      </c>
      <c r="AC82" s="2">
        <v>11.6807441860465</v>
      </c>
      <c r="AD82" s="2">
        <v>0</v>
      </c>
      <c r="AE82" s="2">
        <v>4.5801086956521697</v>
      </c>
      <c r="AF82" s="2">
        <v>0</v>
      </c>
      <c r="AG82" s="2">
        <v>0</v>
      </c>
      <c r="AH82" s="2">
        <v>25.736521739130399</v>
      </c>
      <c r="AI82" s="2">
        <v>0</v>
      </c>
      <c r="AJ82" s="2">
        <v>4.5</v>
      </c>
      <c r="AK82">
        <v>335874</v>
      </c>
      <c r="AL82" s="39">
        <v>2</v>
      </c>
    </row>
    <row r="83" spans="1:38" hidden="1" x14ac:dyDescent="0.2">
      <c r="A83" t="s">
        <v>90</v>
      </c>
      <c r="B83" t="s">
        <v>220</v>
      </c>
      <c r="C83" t="s">
        <v>66</v>
      </c>
      <c r="D83" t="s">
        <v>45</v>
      </c>
      <c r="E83" s="2">
        <v>228.88043478260801</v>
      </c>
      <c r="F83" s="2">
        <v>4.375</v>
      </c>
      <c r="G83" s="39"/>
      <c r="H83" s="2">
        <v>1.1468870209431501</v>
      </c>
      <c r="I83" s="2">
        <v>6.8016304347826004</v>
      </c>
      <c r="J83" s="2">
        <v>1.78301752386379</v>
      </c>
      <c r="K83" s="2">
        <v>2.39673913043478</v>
      </c>
      <c r="L83" s="2">
        <v>16.9211956521739</v>
      </c>
      <c r="M83" s="2">
        <v>0</v>
      </c>
      <c r="N83" s="2">
        <v>0</v>
      </c>
      <c r="O83" s="2">
        <v>15.415760869565201</v>
      </c>
      <c r="P83" s="2">
        <v>16.230978260869499</v>
      </c>
      <c r="Q83" s="2">
        <v>0</v>
      </c>
      <c r="R83" s="2">
        <v>4.2548796124804102</v>
      </c>
      <c r="S83" s="2">
        <v>4.1032608695652097</v>
      </c>
      <c r="T83" s="2">
        <v>34.777173913043399</v>
      </c>
      <c r="U83" s="2">
        <v>10.192335090468699</v>
      </c>
      <c r="V83" s="2">
        <v>8.7989130434782599</v>
      </c>
      <c r="W83" s="2">
        <v>29.369565217391301</v>
      </c>
      <c r="X83" s="2">
        <v>10.0923913043478</v>
      </c>
      <c r="Y83" s="2">
        <v>12.651374839720701</v>
      </c>
      <c r="Z83" s="2">
        <v>21.543478260869499</v>
      </c>
      <c r="AA83" s="2">
        <v>33.423913043478201</v>
      </c>
      <c r="AB83" s="2">
        <v>3.9103260869565202</v>
      </c>
      <c r="AC83" s="2">
        <v>15.4345348340219</v>
      </c>
      <c r="AD83" s="2">
        <v>0</v>
      </c>
      <c r="AE83" s="2">
        <v>0</v>
      </c>
      <c r="AF83" s="2">
        <v>0</v>
      </c>
      <c r="AG83" s="2">
        <v>0</v>
      </c>
      <c r="AH83" s="2">
        <v>0</v>
      </c>
      <c r="AI83" s="2">
        <v>0</v>
      </c>
      <c r="AJ83" s="2">
        <v>3.2608695652173898E-2</v>
      </c>
      <c r="AK83">
        <v>335238</v>
      </c>
      <c r="AL83" s="39">
        <v>2</v>
      </c>
    </row>
    <row r="84" spans="1:38" hidden="1" x14ac:dyDescent="0.2">
      <c r="A84" t="s">
        <v>90</v>
      </c>
      <c r="B84" t="s">
        <v>221</v>
      </c>
      <c r="C84" t="s">
        <v>60</v>
      </c>
      <c r="D84" t="s">
        <v>94</v>
      </c>
      <c r="E84" s="2">
        <v>45.880434782608603</v>
      </c>
      <c r="F84" s="2">
        <v>4.1847826086956497</v>
      </c>
      <c r="G84" s="39"/>
      <c r="H84" s="2">
        <v>5.4726368159203904</v>
      </c>
      <c r="I84" s="2">
        <v>2.7391304347826</v>
      </c>
      <c r="J84" s="2">
        <v>3.5820895522387999</v>
      </c>
      <c r="K84" s="2">
        <v>0.559782608695652</v>
      </c>
      <c r="L84" s="2">
        <v>4.9170652173912996</v>
      </c>
      <c r="M84" s="2">
        <v>0</v>
      </c>
      <c r="N84" s="2">
        <v>0</v>
      </c>
      <c r="O84" s="2">
        <v>4.8097826086956497</v>
      </c>
      <c r="P84" s="2">
        <v>8.7673913043478198</v>
      </c>
      <c r="Q84" s="2">
        <v>0</v>
      </c>
      <c r="R84" s="2">
        <v>11.465529495380199</v>
      </c>
      <c r="S84" s="2">
        <v>7.31880434782608</v>
      </c>
      <c r="T84" s="2">
        <v>1.0570652173913</v>
      </c>
      <c r="U84" s="2">
        <v>10.953518123667299</v>
      </c>
      <c r="V84" s="2">
        <v>16.168478260869499</v>
      </c>
      <c r="W84" s="2">
        <v>10.0798913043478</v>
      </c>
      <c r="X84" s="2">
        <v>4.1500000000000004</v>
      </c>
      <c r="Y84" s="2">
        <v>39.753375977256503</v>
      </c>
      <c r="Z84" s="2">
        <v>12.0733695652173</v>
      </c>
      <c r="AA84" s="2">
        <v>8.9255434782608596</v>
      </c>
      <c r="AB84" s="2">
        <v>2.39673913043478</v>
      </c>
      <c r="AC84" s="2">
        <v>30.5955934612651</v>
      </c>
      <c r="AD84" s="2">
        <v>0</v>
      </c>
      <c r="AE84" s="2">
        <v>3.9565217391304301</v>
      </c>
      <c r="AF84" s="2">
        <v>0</v>
      </c>
      <c r="AG84" s="2">
        <v>0</v>
      </c>
      <c r="AH84" s="2">
        <v>0</v>
      </c>
      <c r="AI84" s="2">
        <v>0</v>
      </c>
      <c r="AJ84" s="2">
        <v>0</v>
      </c>
      <c r="AK84">
        <v>335269</v>
      </c>
      <c r="AL84" s="39">
        <v>2</v>
      </c>
    </row>
    <row r="85" spans="1:38" x14ac:dyDescent="0.2">
      <c r="A85" t="s">
        <v>90</v>
      </c>
      <c r="B85" t="s">
        <v>222</v>
      </c>
      <c r="C85" t="s">
        <v>223</v>
      </c>
      <c r="D85" t="s">
        <v>119</v>
      </c>
      <c r="E85" s="2">
        <v>180.95652173913001</v>
      </c>
      <c r="F85" s="2">
        <v>5.5652173913043397</v>
      </c>
      <c r="G85" s="39"/>
      <c r="H85" s="2">
        <v>1.8452666987025399</v>
      </c>
      <c r="I85" s="2">
        <v>0</v>
      </c>
      <c r="J85" s="2">
        <v>0</v>
      </c>
      <c r="K85" s="2">
        <v>0</v>
      </c>
      <c r="L85" s="2">
        <v>16.201086956521699</v>
      </c>
      <c r="M85" s="2">
        <v>0</v>
      </c>
      <c r="N85" s="2">
        <v>0</v>
      </c>
      <c r="O85" s="2">
        <v>3.3532608695652102</v>
      </c>
      <c r="P85" s="2">
        <v>15.173913043478199</v>
      </c>
      <c r="Q85" s="2">
        <v>0</v>
      </c>
      <c r="R85" s="2">
        <v>5.03123498318116</v>
      </c>
      <c r="S85" s="2">
        <v>9.9347826086956506</v>
      </c>
      <c r="T85" s="2">
        <v>17.4293478260869</v>
      </c>
      <c r="U85" s="2">
        <v>9.0731619413743392</v>
      </c>
      <c r="V85" s="2">
        <v>21.0842391304347</v>
      </c>
      <c r="W85" s="2">
        <v>19.4755434782608</v>
      </c>
      <c r="X85" s="2">
        <v>0</v>
      </c>
      <c r="Y85" s="2">
        <v>13.448462277751</v>
      </c>
      <c r="Z85" s="2">
        <v>19.8668478260869</v>
      </c>
      <c r="AA85" s="2">
        <v>20.095108695652101</v>
      </c>
      <c r="AB85" s="2">
        <v>0</v>
      </c>
      <c r="AC85" s="2">
        <v>13.250240269101299</v>
      </c>
      <c r="AD85" s="2">
        <v>0</v>
      </c>
      <c r="AE85" s="2">
        <v>0.78804347826086896</v>
      </c>
      <c r="AF85" s="2">
        <v>0</v>
      </c>
      <c r="AG85" s="2">
        <v>0</v>
      </c>
      <c r="AH85" s="2">
        <v>0.86956521739130399</v>
      </c>
      <c r="AI85" s="2">
        <v>0</v>
      </c>
      <c r="AJ85" s="2">
        <v>0</v>
      </c>
      <c r="AK85">
        <v>335148</v>
      </c>
      <c r="AL85" s="39">
        <v>2</v>
      </c>
    </row>
    <row r="86" spans="1:38" hidden="1" x14ac:dyDescent="0.2">
      <c r="A86" t="s">
        <v>90</v>
      </c>
      <c r="B86" t="s">
        <v>336</v>
      </c>
      <c r="C86" t="s">
        <v>158</v>
      </c>
      <c r="D86" t="s">
        <v>119</v>
      </c>
      <c r="E86" s="2">
        <v>74.054347826086897</v>
      </c>
      <c r="F86" s="2">
        <v>4.8913043478260798</v>
      </c>
      <c r="G86" s="39"/>
      <c r="H86" s="2">
        <v>3.96301188903566</v>
      </c>
      <c r="I86" s="2">
        <v>0.114130434782608</v>
      </c>
      <c r="J86" s="2">
        <v>9.2470277410832094E-2</v>
      </c>
      <c r="K86" s="2">
        <v>0</v>
      </c>
      <c r="L86" s="2">
        <v>3.9945652173913002</v>
      </c>
      <c r="M86" s="2">
        <v>0</v>
      </c>
      <c r="N86" s="2">
        <v>0</v>
      </c>
      <c r="O86" s="2">
        <v>4.8967391304347796</v>
      </c>
      <c r="P86" s="2">
        <v>3.96608695652173</v>
      </c>
      <c r="Q86" s="2">
        <v>0</v>
      </c>
      <c r="R86" s="2">
        <v>3.2133861734918501</v>
      </c>
      <c r="S86" s="2">
        <v>0</v>
      </c>
      <c r="T86" s="2">
        <v>19.659673913043399</v>
      </c>
      <c r="U86" s="2">
        <v>15.9285777190664</v>
      </c>
      <c r="V86" s="2">
        <v>4.4293478260869499</v>
      </c>
      <c r="W86" s="2">
        <v>9.7527173913043406</v>
      </c>
      <c r="X86" s="2">
        <v>0</v>
      </c>
      <c r="Y86" s="2">
        <v>11.4905328049317</v>
      </c>
      <c r="Z86" s="2">
        <v>5.2771739130434696</v>
      </c>
      <c r="AA86" s="2">
        <v>5.2581521739130404</v>
      </c>
      <c r="AB86" s="2">
        <v>0</v>
      </c>
      <c r="AC86" s="2">
        <v>8.5358872743284895</v>
      </c>
      <c r="AD86" s="2">
        <v>0</v>
      </c>
      <c r="AE86" s="2">
        <v>0</v>
      </c>
      <c r="AF86" s="2">
        <v>0</v>
      </c>
      <c r="AG86" s="2">
        <v>0</v>
      </c>
      <c r="AH86" s="2">
        <v>0</v>
      </c>
      <c r="AI86" s="2">
        <v>0</v>
      </c>
      <c r="AJ86" s="2">
        <v>0</v>
      </c>
      <c r="AK86">
        <v>335311</v>
      </c>
      <c r="AL86" s="39">
        <v>2</v>
      </c>
    </row>
    <row r="87" spans="1:38" hidden="1" x14ac:dyDescent="0.2">
      <c r="A87" t="s">
        <v>90</v>
      </c>
      <c r="B87" t="s">
        <v>224</v>
      </c>
      <c r="C87" t="s">
        <v>98</v>
      </c>
      <c r="D87" t="s">
        <v>94</v>
      </c>
      <c r="E87" s="2">
        <v>165.489130434782</v>
      </c>
      <c r="F87" s="2">
        <v>3.8288043478260798</v>
      </c>
      <c r="G87" s="39"/>
      <c r="H87" s="2">
        <v>1.3881773399014701</v>
      </c>
      <c r="I87" s="2">
        <v>3.0951086956521698</v>
      </c>
      <c r="J87" s="2">
        <v>1.1221674876847201</v>
      </c>
      <c r="K87" s="2">
        <v>0</v>
      </c>
      <c r="L87" s="2">
        <v>8.5489130434782599</v>
      </c>
      <c r="M87" s="2">
        <v>0</v>
      </c>
      <c r="N87" s="2">
        <v>0</v>
      </c>
      <c r="O87" s="2">
        <v>6.1331521739130404</v>
      </c>
      <c r="P87" s="2">
        <v>4.4211956521739104</v>
      </c>
      <c r="Q87" s="2">
        <v>4.7663043478260798</v>
      </c>
      <c r="R87" s="2">
        <v>3.33103448275862</v>
      </c>
      <c r="S87" s="2">
        <v>6.6847826086956497</v>
      </c>
      <c r="T87" s="2">
        <v>5.1331521739130404</v>
      </c>
      <c r="U87" s="2">
        <v>4.2847290640394</v>
      </c>
      <c r="V87" s="2">
        <v>13.4048913043478</v>
      </c>
      <c r="W87" s="2">
        <v>18.863043478260799</v>
      </c>
      <c r="X87" s="2">
        <v>0</v>
      </c>
      <c r="Y87" s="2">
        <v>11.6991133004926</v>
      </c>
      <c r="Z87" s="2">
        <v>21.622282608695599</v>
      </c>
      <c r="AA87" s="2">
        <v>13.6983695652173</v>
      </c>
      <c r="AB87" s="2">
        <v>0</v>
      </c>
      <c r="AC87" s="2">
        <v>12.8059113300492</v>
      </c>
      <c r="AD87" s="2">
        <v>0</v>
      </c>
      <c r="AE87" s="2">
        <v>3.27173913043478</v>
      </c>
      <c r="AF87" s="2">
        <v>0</v>
      </c>
      <c r="AG87" s="2">
        <v>0</v>
      </c>
      <c r="AH87" s="2">
        <v>0</v>
      </c>
      <c r="AI87" s="2">
        <v>0</v>
      </c>
      <c r="AJ87" s="2">
        <v>0</v>
      </c>
      <c r="AK87">
        <v>335621</v>
      </c>
      <c r="AL87" s="39">
        <v>2</v>
      </c>
    </row>
    <row r="88" spans="1:38" hidden="1" x14ac:dyDescent="0.2">
      <c r="A88" t="s">
        <v>90</v>
      </c>
      <c r="B88" t="s">
        <v>225</v>
      </c>
      <c r="C88" t="s">
        <v>226</v>
      </c>
      <c r="D88" t="s">
        <v>94</v>
      </c>
      <c r="E88" s="2">
        <v>118.41304347825999</v>
      </c>
      <c r="F88" s="2">
        <v>12.434782608695601</v>
      </c>
      <c r="G88" s="39"/>
      <c r="H88" s="2">
        <v>6.30071599045346</v>
      </c>
      <c r="I88" s="2">
        <v>0.42391304347825998</v>
      </c>
      <c r="J88" s="2">
        <v>0.21479713603818601</v>
      </c>
      <c r="K88" s="2">
        <v>0.75</v>
      </c>
      <c r="L88" s="2">
        <v>4.9565217391304301</v>
      </c>
      <c r="M88" s="2">
        <v>0</v>
      </c>
      <c r="N88" s="2">
        <v>2.9021739130434701</v>
      </c>
      <c r="O88" s="2">
        <v>4.8913043478260798</v>
      </c>
      <c r="P88" s="2">
        <v>9.5896739130434696</v>
      </c>
      <c r="Q88" s="2">
        <v>0</v>
      </c>
      <c r="R88" s="2">
        <v>4.8590967505048601</v>
      </c>
      <c r="S88" s="2">
        <v>0</v>
      </c>
      <c r="T88" s="2">
        <v>41.763586956521699</v>
      </c>
      <c r="U88" s="2">
        <v>21.161648613915901</v>
      </c>
      <c r="V88" s="2">
        <v>19.3219565217391</v>
      </c>
      <c r="W88" s="2">
        <v>10.9918478260869</v>
      </c>
      <c r="X88" s="2">
        <v>0</v>
      </c>
      <c r="Y88" s="2">
        <v>15.3600330457132</v>
      </c>
      <c r="Z88" s="2">
        <v>17.736413043478201</v>
      </c>
      <c r="AA88" s="2">
        <v>12.407608695652099</v>
      </c>
      <c r="AB88" s="2">
        <v>0</v>
      </c>
      <c r="AC88" s="2">
        <v>15.2740040389205</v>
      </c>
      <c r="AD88" s="2">
        <v>0</v>
      </c>
      <c r="AE88" s="2">
        <v>0</v>
      </c>
      <c r="AF88" s="2">
        <v>0</v>
      </c>
      <c r="AG88" s="2">
        <v>0</v>
      </c>
      <c r="AH88" s="2">
        <v>4.4095652173913003</v>
      </c>
      <c r="AI88" s="2">
        <v>0</v>
      </c>
      <c r="AJ88" s="2">
        <v>1.3369565217391299</v>
      </c>
      <c r="AK88">
        <v>335259</v>
      </c>
      <c r="AL88" s="39">
        <v>2</v>
      </c>
    </row>
    <row r="89" spans="1:38" hidden="1" x14ac:dyDescent="0.2">
      <c r="A89" t="s">
        <v>90</v>
      </c>
      <c r="B89" t="s">
        <v>227</v>
      </c>
      <c r="C89" t="s">
        <v>60</v>
      </c>
      <c r="D89" t="s">
        <v>94</v>
      </c>
      <c r="E89" s="2">
        <v>226.41304347825999</v>
      </c>
      <c r="F89" s="2">
        <v>4.9565217391304301</v>
      </c>
      <c r="G89" s="39"/>
      <c r="H89" s="2">
        <v>1.31349015842534</v>
      </c>
      <c r="I89" s="2">
        <v>1.0760869565217299</v>
      </c>
      <c r="J89" s="2">
        <v>0.28516562650024002</v>
      </c>
      <c r="K89" s="2">
        <v>1.1847826086956501</v>
      </c>
      <c r="L89" s="2">
        <v>9.0706521739130395</v>
      </c>
      <c r="M89" s="2">
        <v>0</v>
      </c>
      <c r="N89" s="2">
        <v>0</v>
      </c>
      <c r="O89" s="2">
        <v>5.7418478260869499</v>
      </c>
      <c r="P89" s="2">
        <v>0</v>
      </c>
      <c r="Q89" s="2">
        <v>10.478260869565201</v>
      </c>
      <c r="R89" s="2">
        <v>2.7767642822851601</v>
      </c>
      <c r="S89" s="2">
        <v>10.5978260869565</v>
      </c>
      <c r="T89" s="2">
        <v>21.263586956521699</v>
      </c>
      <c r="U89" s="2">
        <v>8.4433509361497805</v>
      </c>
      <c r="V89" s="2">
        <v>21.0380434782608</v>
      </c>
      <c r="W89" s="2">
        <v>17.847826086956498</v>
      </c>
      <c r="X89" s="2">
        <v>0</v>
      </c>
      <c r="Y89" s="2">
        <v>10.3048487758041</v>
      </c>
      <c r="Z89" s="2">
        <v>37.152173913043399</v>
      </c>
      <c r="AA89" s="2">
        <v>25.75</v>
      </c>
      <c r="AB89" s="2">
        <v>0</v>
      </c>
      <c r="AC89" s="2">
        <v>16.669227076332199</v>
      </c>
      <c r="AD89" s="2">
        <v>0</v>
      </c>
      <c r="AE89" s="2">
        <v>0</v>
      </c>
      <c r="AF89" s="2">
        <v>0</v>
      </c>
      <c r="AG89" s="2">
        <v>0</v>
      </c>
      <c r="AH89" s="2">
        <v>0</v>
      </c>
      <c r="AI89" s="2">
        <v>0</v>
      </c>
      <c r="AJ89" s="2">
        <v>0</v>
      </c>
      <c r="AK89">
        <v>335459</v>
      </c>
      <c r="AL89" s="39">
        <v>2</v>
      </c>
    </row>
    <row r="90" spans="1:38" hidden="1" x14ac:dyDescent="0.2">
      <c r="A90" t="s">
        <v>90</v>
      </c>
      <c r="B90" t="s">
        <v>228</v>
      </c>
      <c r="C90" t="s">
        <v>75</v>
      </c>
      <c r="D90" t="s">
        <v>94</v>
      </c>
      <c r="E90" s="2">
        <v>83.391304347826093</v>
      </c>
      <c r="F90" s="2">
        <v>3.75</v>
      </c>
      <c r="G90" s="39"/>
      <c r="H90" s="2">
        <v>2.6981230448383702</v>
      </c>
      <c r="I90" s="2">
        <v>1.2391304347826</v>
      </c>
      <c r="J90" s="2">
        <v>0.89155370177267901</v>
      </c>
      <c r="K90" s="2">
        <v>0.45500000000000002</v>
      </c>
      <c r="L90" s="2">
        <v>3.4619565217391299</v>
      </c>
      <c r="M90" s="2">
        <v>0</v>
      </c>
      <c r="N90" s="2">
        <v>0</v>
      </c>
      <c r="O90" s="2">
        <v>1.94293478260869</v>
      </c>
      <c r="P90" s="2">
        <v>4.7282608695652097</v>
      </c>
      <c r="Q90" s="2">
        <v>0</v>
      </c>
      <c r="R90" s="2">
        <v>3.4019812304483801</v>
      </c>
      <c r="S90" s="2">
        <v>0</v>
      </c>
      <c r="T90" s="2">
        <v>10.220326086956501</v>
      </c>
      <c r="U90" s="2">
        <v>7.3535192909280402</v>
      </c>
      <c r="V90" s="2">
        <v>2.5516304347826</v>
      </c>
      <c r="W90" s="2">
        <v>16.836413043478199</v>
      </c>
      <c r="X90" s="2">
        <v>0</v>
      </c>
      <c r="Y90" s="2">
        <v>13.949687174139701</v>
      </c>
      <c r="Z90" s="2">
        <v>11.612608695652099</v>
      </c>
      <c r="AA90" s="2">
        <v>12.095434782608599</v>
      </c>
      <c r="AB90" s="2">
        <v>0</v>
      </c>
      <c r="AC90" s="2">
        <v>17.0579249217935</v>
      </c>
      <c r="AD90" s="2">
        <v>0</v>
      </c>
      <c r="AE90" s="2">
        <v>5.0543478260869499</v>
      </c>
      <c r="AF90" s="2">
        <v>0</v>
      </c>
      <c r="AG90" s="2">
        <v>0</v>
      </c>
      <c r="AH90" s="2">
        <v>0</v>
      </c>
      <c r="AI90" s="2">
        <v>0</v>
      </c>
      <c r="AJ90" s="2">
        <v>0</v>
      </c>
      <c r="AK90">
        <v>335224</v>
      </c>
      <c r="AL90" s="39">
        <v>2</v>
      </c>
    </row>
    <row r="91" spans="1:38" hidden="1" x14ac:dyDescent="0.2">
      <c r="A91" t="s">
        <v>90</v>
      </c>
      <c r="B91" t="s">
        <v>229</v>
      </c>
      <c r="C91" t="s">
        <v>145</v>
      </c>
      <c r="D91" t="s">
        <v>125</v>
      </c>
      <c r="E91" s="2">
        <v>36.8586956521739</v>
      </c>
      <c r="F91" s="2">
        <v>4.4021739130434696</v>
      </c>
      <c r="G91" s="39"/>
      <c r="H91" s="2">
        <v>7.16602772043644</v>
      </c>
      <c r="I91" s="2">
        <v>1.23369565217391</v>
      </c>
      <c r="J91" s="2">
        <v>2.0082571512828</v>
      </c>
      <c r="K91" s="2">
        <v>0.21869565217391301</v>
      </c>
      <c r="L91" s="2">
        <v>3.2608695652173898</v>
      </c>
      <c r="M91" s="2">
        <v>0</v>
      </c>
      <c r="N91" s="2">
        <v>0.25815217391304301</v>
      </c>
      <c r="O91" s="2">
        <v>0</v>
      </c>
      <c r="P91" s="2">
        <v>4.5326086956521703</v>
      </c>
      <c r="Q91" s="2">
        <v>0</v>
      </c>
      <c r="R91" s="2">
        <v>7.3783544677086299</v>
      </c>
      <c r="S91" s="2">
        <v>3.9782608695652102</v>
      </c>
      <c r="T91" s="2">
        <v>10.4048913043478</v>
      </c>
      <c r="U91" s="2">
        <v>23.413447360660498</v>
      </c>
      <c r="V91" s="2">
        <v>10.282608695652099</v>
      </c>
      <c r="W91" s="2">
        <v>4.9239130434782599</v>
      </c>
      <c r="X91" s="2">
        <v>0</v>
      </c>
      <c r="Y91" s="2">
        <v>24.7537599528162</v>
      </c>
      <c r="Z91" s="2">
        <v>11.290760869565201</v>
      </c>
      <c r="AA91" s="2">
        <v>0</v>
      </c>
      <c r="AB91" s="2">
        <v>0</v>
      </c>
      <c r="AC91" s="2">
        <v>18.379534060748998</v>
      </c>
      <c r="AD91" s="2">
        <v>0.14945652173912999</v>
      </c>
      <c r="AE91" s="2">
        <v>0</v>
      </c>
      <c r="AF91" s="2">
        <v>0</v>
      </c>
      <c r="AG91" s="2">
        <v>0</v>
      </c>
      <c r="AH91" s="2">
        <v>0</v>
      </c>
      <c r="AI91" s="2">
        <v>0</v>
      </c>
      <c r="AJ91" s="2">
        <v>0</v>
      </c>
      <c r="AK91">
        <v>335858</v>
      </c>
      <c r="AL91" s="39">
        <v>2</v>
      </c>
    </row>
    <row r="92" spans="1:38" hidden="1" x14ac:dyDescent="0.2">
      <c r="A92" t="s">
        <v>90</v>
      </c>
      <c r="B92" t="s">
        <v>230</v>
      </c>
      <c r="C92" t="s">
        <v>93</v>
      </c>
      <c r="D92" t="s">
        <v>94</v>
      </c>
      <c r="E92" s="2">
        <v>177.75</v>
      </c>
      <c r="F92" s="2">
        <v>4.3478260869565197</v>
      </c>
      <c r="G92" s="39"/>
      <c r="H92" s="2">
        <v>1.4676206200697099</v>
      </c>
      <c r="I92" s="2">
        <v>0.21195652173912999</v>
      </c>
      <c r="J92" s="2">
        <v>7.1546505228398394E-2</v>
      </c>
      <c r="K92" s="2">
        <v>0</v>
      </c>
      <c r="L92" s="2">
        <v>0</v>
      </c>
      <c r="M92" s="2">
        <v>0</v>
      </c>
      <c r="N92" s="2">
        <v>0</v>
      </c>
      <c r="O92" s="2">
        <v>4.4981521739130397</v>
      </c>
      <c r="P92" s="2">
        <v>5.3043478260869499</v>
      </c>
      <c r="Q92" s="2">
        <v>6.9358695652173896</v>
      </c>
      <c r="R92" s="2">
        <v>4.1317189506512504</v>
      </c>
      <c r="S92" s="2">
        <v>5.3005434782608596</v>
      </c>
      <c r="T92" s="2">
        <v>19.274782608695599</v>
      </c>
      <c r="U92" s="2">
        <v>8.2954687213355296</v>
      </c>
      <c r="V92" s="2">
        <v>0.35326086956521702</v>
      </c>
      <c r="W92" s="2">
        <v>21.656195652173899</v>
      </c>
      <c r="X92" s="2">
        <v>8.6810869565217299</v>
      </c>
      <c r="Y92" s="2">
        <v>10.3596771234635</v>
      </c>
      <c r="Z92" s="2">
        <v>9.3918478260869502</v>
      </c>
      <c r="AA92" s="2">
        <v>23.601739130434702</v>
      </c>
      <c r="AB92" s="2">
        <v>0</v>
      </c>
      <c r="AC92" s="2">
        <v>11.137075765914499</v>
      </c>
      <c r="AD92" s="2">
        <v>0</v>
      </c>
      <c r="AE92" s="2">
        <v>0</v>
      </c>
      <c r="AF92" s="2">
        <v>0</v>
      </c>
      <c r="AG92" s="2">
        <v>0</v>
      </c>
      <c r="AH92" s="2">
        <v>0</v>
      </c>
      <c r="AI92" s="2">
        <v>0</v>
      </c>
      <c r="AJ92" s="2">
        <v>2.9130434782608599</v>
      </c>
      <c r="AK92">
        <v>335515</v>
      </c>
      <c r="AL92" s="39">
        <v>2</v>
      </c>
    </row>
    <row r="93" spans="1:38" x14ac:dyDescent="0.2">
      <c r="A93" t="s">
        <v>90</v>
      </c>
      <c r="B93" t="s">
        <v>231</v>
      </c>
      <c r="C93" t="s">
        <v>107</v>
      </c>
      <c r="D93" t="s">
        <v>94</v>
      </c>
      <c r="E93" s="2">
        <v>110.847826086956</v>
      </c>
      <c r="F93" s="2">
        <v>4.59021739130434</v>
      </c>
      <c r="G93" s="39"/>
      <c r="H93" s="2">
        <v>2.48460482447538</v>
      </c>
      <c r="I93" s="2">
        <v>0</v>
      </c>
      <c r="J93" s="2">
        <v>0</v>
      </c>
      <c r="K93" s="2">
        <v>0</v>
      </c>
      <c r="L93" s="2">
        <v>2.20978260869565</v>
      </c>
      <c r="M93" s="2">
        <v>0</v>
      </c>
      <c r="N93" s="2">
        <v>0</v>
      </c>
      <c r="O93" s="2">
        <v>0.15108695652173901</v>
      </c>
      <c r="P93" s="2">
        <v>9.9021739130434696</v>
      </c>
      <c r="Q93" s="2">
        <v>0</v>
      </c>
      <c r="R93" s="2">
        <v>5.3598744851931697</v>
      </c>
      <c r="S93" s="2">
        <v>4.7249999999999996</v>
      </c>
      <c r="T93" s="2">
        <v>9.3282608695652094</v>
      </c>
      <c r="U93" s="2">
        <v>7.6067856442439696</v>
      </c>
      <c r="V93" s="2">
        <v>13.5</v>
      </c>
      <c r="W93" s="2">
        <v>10.1695652173913</v>
      </c>
      <c r="X93" s="2">
        <v>0</v>
      </c>
      <c r="Y93" s="2">
        <v>12.8119239066483</v>
      </c>
      <c r="Z93" s="2">
        <v>17.980434782608601</v>
      </c>
      <c r="AA93" s="2">
        <v>10.588043478260801</v>
      </c>
      <c r="AB93" s="2">
        <v>0</v>
      </c>
      <c r="AC93" s="2">
        <v>15.463620317709299</v>
      </c>
      <c r="AD93" s="2">
        <v>0</v>
      </c>
      <c r="AE93" s="2">
        <v>0</v>
      </c>
      <c r="AF93" s="2">
        <v>0</v>
      </c>
      <c r="AG93" s="2">
        <v>0</v>
      </c>
      <c r="AH93" s="2">
        <v>0</v>
      </c>
      <c r="AI93" s="2">
        <v>0</v>
      </c>
      <c r="AJ93" s="2">
        <v>0</v>
      </c>
      <c r="AK93">
        <v>335078</v>
      </c>
      <c r="AL93" s="39">
        <v>2</v>
      </c>
    </row>
  </sheetData>
  <pageMargins left="0.7" right="0.7" top="0.75" bottom="0.75" header="0.3" footer="0.3"/>
  <pageSetup orientation="portrait" horizontalDpi="1200" verticalDpi="1200" r:id="rId1"/>
  <ignoredErrors>
    <ignoredError sqref="AK92:AK93 AK91 AK90 AK89 AK88 AK87 AK86 AK84:AK85 AK82:AK83 AK81 AK80 AK77:AK79 AK76 AK75 AK74 AK72:AK73 AK69:AK71 AK68 AK63:AK67 AK62 AK61 AK60 AK59 AK58 AK57 AK56 AK55 AK54 AK50:AK53 AK49 AK48 AK47 AK46 AK44:AK45 AK42:AK43 AK41 AK38:AK40 AK36:AK37 AK35 AK34 AK33 AK32 AK31 AK30 AK29 AK28 AK27 AK26 AK25 AK24 AK22:AK23 AK21 AK20 AK19 AK17:AK18 AK16 AK15 AK14 AK13 AK12 AK11 AK10 AK9 AK8 AK7 AK6 AK5 AK4 AK2:AK3" numberStoredAsText="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65A12-B4BB-4866-B578-77D19212647C}">
  <dimension ref="B2:Y62"/>
  <sheetViews>
    <sheetView zoomScale="80" zoomScaleNormal="80" workbookViewId="0">
      <pane ySplit="2" topLeftCell="A3" activePane="bottomLeft" state="frozen"/>
      <selection activeCell="C40" sqref="C40"/>
      <selection pane="bottomLeft" sqref="A1:XFD1048576"/>
    </sheetView>
  </sheetViews>
  <sheetFormatPr baseColWidth="10" defaultColWidth="8.83203125" defaultRowHeight="16" x14ac:dyDescent="0.2"/>
  <cols>
    <col min="1" max="1" width="3" style="3" customWidth="1"/>
    <col min="2" max="2" width="45.1640625" style="3" customWidth="1"/>
    <col min="3" max="4" width="11.5" style="3" customWidth="1"/>
    <col min="5" max="5" width="4.5" style="3" customWidth="1"/>
    <col min="6" max="10" width="9.6640625" style="3" customWidth="1"/>
    <col min="11" max="11" width="4.5" style="3" customWidth="1"/>
    <col min="12" max="12" width="9.6640625" style="3" customWidth="1"/>
    <col min="13" max="15" width="9.6640625" style="24" customWidth="1"/>
    <col min="16" max="16" width="9.6640625" style="3" customWidth="1"/>
    <col min="17" max="17" width="5.5" style="3" customWidth="1"/>
    <col min="18" max="18" width="44.6640625" style="3" customWidth="1"/>
    <col min="19" max="19" width="12.5" style="3" customWidth="1"/>
    <col min="20" max="20" width="14.5" style="3" bestFit="1" customWidth="1"/>
    <col min="21" max="21" width="19.83203125" style="3" customWidth="1"/>
    <col min="22" max="22" width="37.1640625" style="3" customWidth="1"/>
    <col min="23" max="23" width="11.5" style="3" customWidth="1"/>
    <col min="24" max="28" width="8.83203125" style="3"/>
    <col min="29" max="29" width="22.83203125" style="3" customWidth="1"/>
    <col min="30" max="30" width="16.5" style="3" customWidth="1"/>
    <col min="31" max="31" width="13.5" style="3" customWidth="1"/>
    <col min="32" max="16384" width="8.83203125" style="3"/>
  </cols>
  <sheetData>
    <row r="2" spans="2:25" ht="85.5" customHeight="1" x14ac:dyDescent="0.2">
      <c r="B2" s="14" t="s">
        <v>249</v>
      </c>
      <c r="C2" s="14" t="s">
        <v>250</v>
      </c>
      <c r="D2" s="14" t="s">
        <v>251</v>
      </c>
      <c r="E2" s="15"/>
      <c r="F2" s="16" t="s">
        <v>36</v>
      </c>
      <c r="G2" s="16" t="s">
        <v>252</v>
      </c>
      <c r="H2" s="16" t="s">
        <v>253</v>
      </c>
      <c r="I2" s="16" t="s">
        <v>254</v>
      </c>
      <c r="J2" s="17" t="s">
        <v>255</v>
      </c>
      <c r="K2" s="16"/>
      <c r="L2" s="16" t="s">
        <v>256</v>
      </c>
      <c r="M2" s="16" t="s">
        <v>252</v>
      </c>
      <c r="N2" s="16" t="s">
        <v>253</v>
      </c>
      <c r="O2" s="16" t="s">
        <v>254</v>
      </c>
      <c r="P2" s="17" t="s">
        <v>255</v>
      </c>
      <c r="R2" s="3" t="s">
        <v>257</v>
      </c>
      <c r="S2" s="3" t="s">
        <v>258</v>
      </c>
      <c r="T2" s="18" t="s">
        <v>259</v>
      </c>
      <c r="U2" s="18" t="s">
        <v>260</v>
      </c>
    </row>
    <row r="3" spans="2:25" ht="15" customHeight="1" thickBot="1" x14ac:dyDescent="0.25">
      <c r="B3" s="34" t="s">
        <v>261</v>
      </c>
      <c r="C3" s="35" t="e">
        <f>SUM(#REF!)/SUMIFS(#REF!,#REF!, "&lt;&gt;1")*60</f>
        <v>#REF!</v>
      </c>
      <c r="D3" s="41" t="e">
        <f>MEDIAN(#REF!)</f>
        <v>#REF!</v>
      </c>
      <c r="E3" s="21"/>
      <c r="F3" s="3">
        <v>1</v>
      </c>
      <c r="G3" s="22" t="e">
        <f>(SUMIFS(#REF!,#REF!, CMSRegion10[[#This Row],[CMS Region Number]],#REF!, "&lt;&gt;1"))</f>
        <v>#REF!</v>
      </c>
      <c r="H3" s="22" t="e">
        <f>COUNTIFS(#REF!, CMSRegion10[[#This Row],[CMS Region Number]],#REF!, "&lt;&gt;1")</f>
        <v>#REF!</v>
      </c>
      <c r="I3" s="23" t="e">
        <f>SUMIFS(#REF!,#REF!, CMSRegion10[[#This Row],[CMS Region Number]]) / (SUMIFS(#REF!,#REF!, CMSRegion10[[#This Row],[CMS Region Number]],#REF!, "&lt;&gt;1"))*60</f>
        <v>#REF!</v>
      </c>
      <c r="J3" s="22" t="e">
        <f>RANK(CMSRegion10[[#This Row],[Total NonNurse MPRD]], CMSRegion10[Total NonNurse MPRD])</f>
        <v>#REF!</v>
      </c>
      <c r="L3" t="s">
        <v>37</v>
      </c>
      <c r="M3" s="22" t="e">
        <f>(SUMIFS(#REF!,#REF!, State11[[#This Row],[State]],#REF!, "&lt;&gt;1"))</f>
        <v>#REF!</v>
      </c>
      <c r="N3" s="22" t="e">
        <f>COUNTIFS(#REF!, State11[[#This Row],[State]],#REF!, "&lt;&gt;1")</f>
        <v>#REF!</v>
      </c>
      <c r="O3" s="23" t="e">
        <f>SUMIFS(#REF!,#REF!, State11[[#This Row],[State]]) / (SUMIFS(#REF!,#REF!, State11[[#This Row],[State]],#REF!, "&lt;&gt;1"))*60</f>
        <v>#REF!</v>
      </c>
      <c r="P3" s="24" t="e">
        <f>RANK(State11[[#This Row],[Total NonNurse MPRD]], State11[Total NonNurse MPRD])</f>
        <v>#REF!</v>
      </c>
      <c r="R3" s="22" t="s">
        <v>262</v>
      </c>
      <c r="S3" s="22" t="e">
        <f>SUM(#REF!)</f>
        <v>#REF!</v>
      </c>
      <c r="T3" s="23" t="e">
        <f>Category12[[#This Row],[US Total Hours]]/SUMIFS(#REF!,#REF!, "&lt;&gt;1")*60</f>
        <v>#REF!</v>
      </c>
      <c r="U3" s="22" t="e">
        <f>COUNTIF(#REF!, 0)</f>
        <v>#REF!</v>
      </c>
    </row>
    <row r="4" spans="2:25" ht="15" customHeight="1" x14ac:dyDescent="0.2">
      <c r="B4" s="19" t="s">
        <v>263</v>
      </c>
      <c r="C4" s="20" t="e">
        <f>SUM(#REF!)/SUMIFS(#REF!,#REF!, "&lt;&gt;1")*60</f>
        <v>#REF!</v>
      </c>
      <c r="D4" s="45" t="e">
        <f>MEDIAN(#REF!)</f>
        <v>#REF!</v>
      </c>
      <c r="E4" s="21"/>
      <c r="F4" s="3">
        <v>2</v>
      </c>
      <c r="G4" s="22" t="e">
        <f>(SUMIFS(#REF!,#REF!, CMSRegion10[[#This Row],[CMS Region Number]],#REF!, "&lt;&gt;1"))</f>
        <v>#REF!</v>
      </c>
      <c r="H4" s="22" t="e">
        <f>COUNTIFS(#REF!, CMSRegion10[[#This Row],[CMS Region Number]],#REF!, "&lt;&gt;1")</f>
        <v>#REF!</v>
      </c>
      <c r="I4" s="23" t="e">
        <f>SUMIFS(#REF!,#REF!, CMSRegion10[[#This Row],[CMS Region Number]]) / (SUMIFS(#REF!,#REF!, CMSRegion10[[#This Row],[CMS Region Number]],#REF!, "&lt;&gt;1"))*60</f>
        <v>#REF!</v>
      </c>
      <c r="J4" s="22" t="e">
        <f>RANK(CMSRegion10[[#This Row],[Total NonNurse MPRD]], CMSRegion10[Total NonNurse MPRD])</f>
        <v>#REF!</v>
      </c>
      <c r="L4" t="s">
        <v>38</v>
      </c>
      <c r="M4" s="22" t="e">
        <f>(SUMIFS(#REF!,#REF!, State11[[#This Row],[State]],#REF!, "&lt;&gt;1"))</f>
        <v>#REF!</v>
      </c>
      <c r="N4" s="22" t="e">
        <f>COUNTIFS(#REF!, State11[[#This Row],[State]],#REF!, "&lt;&gt;1")</f>
        <v>#REF!</v>
      </c>
      <c r="O4" s="23" t="e">
        <f>SUMIFS(#REF!,#REF!, State11[[#This Row],[State]]) / (SUMIFS(#REF!,#REF!, State11[[#This Row],[State]],#REF!, "&lt;&gt;1"))*60</f>
        <v>#REF!</v>
      </c>
      <c r="P4" s="24" t="e">
        <f>RANK(State11[[#This Row],[Total NonNurse MPRD]], State11[Total NonNurse MPRD])</f>
        <v>#REF!</v>
      </c>
      <c r="R4" s="22" t="s">
        <v>264</v>
      </c>
      <c r="S4" s="22" t="e">
        <f>SUM(#REF!)</f>
        <v>#REF!</v>
      </c>
      <c r="T4" s="23" t="e">
        <f>Category12[[#This Row],[US Total Hours]]/SUM(#REF!)*60</f>
        <v>#REF!</v>
      </c>
      <c r="U4" s="43" t="e">
        <f>COUNTIF(#REF!, 0)</f>
        <v>#REF!</v>
      </c>
      <c r="W4" s="22"/>
    </row>
    <row r="5" spans="2:25" ht="15" customHeight="1" x14ac:dyDescent="0.2">
      <c r="B5" s="25" t="s">
        <v>265</v>
      </c>
      <c r="C5" s="20" t="e">
        <f>( SUM(#REF!,#REF!))/(SUM(#REF!))*60</f>
        <v>#REF!</v>
      </c>
      <c r="D5" s="29" t="e">
        <f>MEDIAN(#REF!)</f>
        <v>#REF!</v>
      </c>
      <c r="E5" s="27"/>
      <c r="F5" s="3">
        <v>3</v>
      </c>
      <c r="G5" s="22" t="e">
        <f>(SUMIFS(#REF!,#REF!, CMSRegion10[[#This Row],[CMS Region Number]],#REF!, "&lt;&gt;1"))</f>
        <v>#REF!</v>
      </c>
      <c r="H5" s="22" t="e">
        <f>COUNTIFS(#REF!, CMSRegion10[[#This Row],[CMS Region Number]],#REF!, "&lt;&gt;1")</f>
        <v>#REF!</v>
      </c>
      <c r="I5" s="23" t="e">
        <f>SUMIFS(#REF!,#REF!, CMSRegion10[[#This Row],[CMS Region Number]]) / (SUMIFS(#REF!,#REF!, CMSRegion10[[#This Row],[CMS Region Number]],#REF!, "&lt;&gt;1"))*60</f>
        <v>#REF!</v>
      </c>
      <c r="J5" s="22" t="e">
        <f>RANK(CMSRegion10[[#This Row],[Total NonNurse MPRD]], CMSRegion10[Total NonNurse MPRD])</f>
        <v>#REF!</v>
      </c>
      <c r="L5" t="s">
        <v>41</v>
      </c>
      <c r="M5" s="22" t="e">
        <f>(SUMIFS(#REF!,#REF!, State11[[#This Row],[State]],#REF!, "&lt;&gt;1"))</f>
        <v>#REF!</v>
      </c>
      <c r="N5" s="22" t="e">
        <f>COUNTIFS(#REF!, State11[[#This Row],[State]],#REF!, "&lt;&gt;1")</f>
        <v>#REF!</v>
      </c>
      <c r="O5" s="23" t="e">
        <f>SUMIFS(#REF!,#REF!, State11[[#This Row],[State]]) / (SUMIFS(#REF!,#REF!, State11[[#This Row],[State]],#REF!, "&lt;&gt;1"))*60</f>
        <v>#REF!</v>
      </c>
      <c r="P5" s="24" t="e">
        <f>RANK(State11[[#This Row],[Total NonNurse MPRD]], State11[Total NonNurse MPRD])</f>
        <v>#REF!</v>
      </c>
      <c r="R5" s="22" t="s">
        <v>266</v>
      </c>
      <c r="S5" s="22" t="e">
        <f>SUM(#REF!)</f>
        <v>#REF!</v>
      </c>
      <c r="T5" s="23" t="e">
        <f>Category12[[#This Row],[US Total Hours]]/SUM(#REF!)*60</f>
        <v>#REF!</v>
      </c>
      <c r="U5" s="43" t="e">
        <f>COUNTIF(#REF!, 0)</f>
        <v>#REF!</v>
      </c>
      <c r="X5" s="28"/>
      <c r="Y5" s="28"/>
    </row>
    <row r="6" spans="2:25" ht="15" customHeight="1" x14ac:dyDescent="0.2">
      <c r="B6" s="26" t="s">
        <v>267</v>
      </c>
      <c r="C6" s="40" t="e">
        <f>( SUM(#REF!,#REF!,#REF!))/(SUM(#REF!))*60</f>
        <v>#REF!</v>
      </c>
      <c r="D6" s="20" t="e">
        <f>MEDIAN(#REF!)</f>
        <v>#REF!</v>
      </c>
      <c r="E6"/>
      <c r="F6" s="3">
        <v>4</v>
      </c>
      <c r="G6" s="22" t="e">
        <f>(SUMIFS(#REF!,#REF!, CMSRegion10[[#This Row],[CMS Region Number]],#REF!, "&lt;&gt;1"))</f>
        <v>#REF!</v>
      </c>
      <c r="H6" s="22" t="e">
        <f>COUNTIFS(#REF!, CMSRegion10[[#This Row],[CMS Region Number]],#REF!, "&lt;&gt;1")</f>
        <v>#REF!</v>
      </c>
      <c r="I6" s="23" t="e">
        <f>SUMIFS(#REF!,#REF!, CMSRegion10[[#This Row],[CMS Region Number]]) / (SUMIFS(#REF!,#REF!, CMSRegion10[[#This Row],[CMS Region Number]],#REF!, "&lt;&gt;1"))*60</f>
        <v>#REF!</v>
      </c>
      <c r="J6" s="22" t="e">
        <f>RANK(CMSRegion10[[#This Row],[Total NonNurse MPRD]], CMSRegion10[Total NonNurse MPRD])</f>
        <v>#REF!</v>
      </c>
      <c r="L6" t="s">
        <v>43</v>
      </c>
      <c r="M6" s="22" t="e">
        <f>(SUMIFS(#REF!,#REF!, State11[[#This Row],[State]],#REF!, "&lt;&gt;1"))</f>
        <v>#REF!</v>
      </c>
      <c r="N6" s="22" t="e">
        <f>COUNTIFS(#REF!, State11[[#This Row],[State]],#REF!, "&lt;&gt;1")</f>
        <v>#REF!</v>
      </c>
      <c r="O6" s="23" t="e">
        <f>SUMIFS(#REF!,#REF!, State11[[#This Row],[State]]) / (SUMIFS(#REF!,#REF!, State11[[#This Row],[State]],#REF!, "&lt;&gt;1"))*60</f>
        <v>#REF!</v>
      </c>
      <c r="P6" s="24" t="e">
        <f>RANK(State11[[#This Row],[Total NonNurse MPRD]], State11[Total NonNurse MPRD])</f>
        <v>#REF!</v>
      </c>
      <c r="R6" s="22" t="s">
        <v>268</v>
      </c>
      <c r="S6" s="22" t="e">
        <f>SUM(#REF!)</f>
        <v>#REF!</v>
      </c>
      <c r="T6" s="23" t="e">
        <f>Category12[[#This Row],[US Total Hours]]/SUM(#REF!)*60</f>
        <v>#REF!</v>
      </c>
      <c r="U6" s="43" t="e">
        <f>COUNTIF(#REF!, 0)</f>
        <v>#REF!</v>
      </c>
      <c r="X6" s="28"/>
      <c r="Y6" s="28"/>
    </row>
    <row r="7" spans="2:25" ht="15" customHeight="1" x14ac:dyDescent="0.2">
      <c r="B7" s="25" t="s">
        <v>269</v>
      </c>
      <c r="C7" s="29" t="e">
        <f>( SUM(#REF!,#REF!,#REF!))/(SUM(#REF!))*60</f>
        <v>#REF!</v>
      </c>
      <c r="D7" s="42" t="e">
        <f>MEDIAN(#REF!)</f>
        <v>#REF!</v>
      </c>
      <c r="E7"/>
      <c r="F7" s="3">
        <v>5</v>
      </c>
      <c r="G7" s="22" t="e">
        <f>(SUMIFS(#REF!,#REF!, CMSRegion10[[#This Row],[CMS Region Number]],#REF!, "&lt;&gt;1"))</f>
        <v>#REF!</v>
      </c>
      <c r="H7" s="22" t="e">
        <f>COUNTIFS(#REF!, CMSRegion10[[#This Row],[CMS Region Number]],#REF!, "&lt;&gt;1")</f>
        <v>#REF!</v>
      </c>
      <c r="I7" s="23" t="e">
        <f>SUMIFS(#REF!,#REF!, CMSRegion10[[#This Row],[CMS Region Number]]) / (SUMIFS(#REF!,#REF!, CMSRegion10[[#This Row],[CMS Region Number]],#REF!, "&lt;&gt;1"))*60</f>
        <v>#REF!</v>
      </c>
      <c r="J7" s="22" t="e">
        <f>RANK(CMSRegion10[[#This Row],[Total NonNurse MPRD]], CMSRegion10[Total NonNurse MPRD])</f>
        <v>#REF!</v>
      </c>
      <c r="L7" t="s">
        <v>44</v>
      </c>
      <c r="M7" s="22" t="e">
        <f>(SUMIFS(#REF!,#REF!, State11[[#This Row],[State]],#REF!, "&lt;&gt;1"))</f>
        <v>#REF!</v>
      </c>
      <c r="N7" s="22" t="e">
        <f>COUNTIFS(#REF!, State11[[#This Row],[State]],#REF!, "&lt;&gt;1")</f>
        <v>#REF!</v>
      </c>
      <c r="O7" s="23" t="e">
        <f>SUMIFS(#REF!,#REF!, State11[[#This Row],[State]]) / (SUMIFS(#REF!,#REF!, State11[[#This Row],[State]],#REF!, "&lt;&gt;1"))*60</f>
        <v>#REF!</v>
      </c>
      <c r="P7" s="24" t="e">
        <f>RANK(State11[[#This Row],[Total NonNurse MPRD]], State11[Total NonNurse MPRD])</f>
        <v>#REF!</v>
      </c>
      <c r="R7" s="22" t="s">
        <v>270</v>
      </c>
      <c r="S7" s="22" t="e">
        <f>SUM(#REF!)</f>
        <v>#REF!</v>
      </c>
      <c r="T7" s="23" t="e">
        <f>Category12[[#This Row],[US Total Hours]]/SUM(#REF!)*60</f>
        <v>#REF!</v>
      </c>
      <c r="U7" s="43" t="e">
        <f>COUNTIF(#REF!, 0)</f>
        <v>#REF!</v>
      </c>
      <c r="V7" s="28"/>
      <c r="W7" s="28"/>
      <c r="X7" s="28"/>
      <c r="Y7" s="28"/>
    </row>
    <row r="8" spans="2:25" ht="15" customHeight="1" x14ac:dyDescent="0.2">
      <c r="B8" s="30" t="s">
        <v>271</v>
      </c>
      <c r="C8" s="40" t="e">
        <f>( SUM(#REF!,#REF!))/(SUM(#REF!))*60</f>
        <v>#REF!</v>
      </c>
      <c r="D8" s="46" t="e">
        <f>MEDIAN(#REF!)</f>
        <v>#REF!</v>
      </c>
      <c r="F8" s="3">
        <v>6</v>
      </c>
      <c r="G8" s="22" t="e">
        <f>(SUMIFS(#REF!,#REF!, CMSRegion10[[#This Row],[CMS Region Number]],#REF!, "&lt;&gt;1"))</f>
        <v>#REF!</v>
      </c>
      <c r="H8" s="22" t="e">
        <f>COUNTIFS(#REF!, CMSRegion10[[#This Row],[CMS Region Number]],#REF!, "&lt;&gt;1")</f>
        <v>#REF!</v>
      </c>
      <c r="I8" s="23" t="e">
        <f>SUMIFS(#REF!,#REF!, CMSRegion10[[#This Row],[CMS Region Number]]) / (SUMIFS(#REF!,#REF!, CMSRegion10[[#This Row],[CMS Region Number]],#REF!, "&lt;&gt;1"))*60</f>
        <v>#REF!</v>
      </c>
      <c r="J8" s="22" t="e">
        <f>RANK(CMSRegion10[[#This Row],[Total NonNurse MPRD]], CMSRegion10[Total NonNurse MPRD])</f>
        <v>#REF!</v>
      </c>
      <c r="L8" t="s">
        <v>50</v>
      </c>
      <c r="M8" s="22" t="e">
        <f>(SUMIFS(#REF!,#REF!, State11[[#This Row],[State]],#REF!, "&lt;&gt;1"))</f>
        <v>#REF!</v>
      </c>
      <c r="N8" s="22" t="e">
        <f>COUNTIFS(#REF!, State11[[#This Row],[State]],#REF!, "&lt;&gt;1")</f>
        <v>#REF!</v>
      </c>
      <c r="O8" s="23" t="e">
        <f>SUMIFS(#REF!,#REF!, State11[[#This Row],[State]]) / (SUMIFS(#REF!,#REF!, State11[[#This Row],[State]],#REF!, "&lt;&gt;1"))*60</f>
        <v>#REF!</v>
      </c>
      <c r="P8" s="24" t="e">
        <f>RANK(State11[[#This Row],[Total NonNurse MPRD]], State11[Total NonNurse MPRD])</f>
        <v>#REF!</v>
      </c>
      <c r="R8" s="22" t="s">
        <v>272</v>
      </c>
      <c r="S8" s="22" t="e">
        <f>SUM(#REF!)</f>
        <v>#REF!</v>
      </c>
      <c r="T8" s="23" t="e">
        <f>Category12[[#This Row],[US Total Hours]]/SUM(#REF!)*60</f>
        <v>#REF!</v>
      </c>
      <c r="U8" s="43" t="e">
        <f>COUNTIF(#REF!, 0)</f>
        <v>#REF!</v>
      </c>
      <c r="V8" s="28"/>
      <c r="W8" s="28"/>
      <c r="X8" s="28"/>
      <c r="Y8" s="28"/>
    </row>
    <row r="9" spans="2:25" ht="15" customHeight="1" x14ac:dyDescent="0.2">
      <c r="B9" s="53" t="s">
        <v>273</v>
      </c>
      <c r="C9" s="47"/>
      <c r="D9" s="48"/>
      <c r="F9" s="3">
        <v>7</v>
      </c>
      <c r="G9" s="22" t="e">
        <f>(SUMIFS(#REF!,#REF!, CMSRegion10[[#This Row],[CMS Region Number]],#REF!, "&lt;&gt;1"))</f>
        <v>#REF!</v>
      </c>
      <c r="H9" s="22" t="e">
        <f>COUNTIFS(#REF!, CMSRegion10[[#This Row],[CMS Region Number]],#REF!, "&lt;&gt;1")</f>
        <v>#REF!</v>
      </c>
      <c r="I9" s="23" t="e">
        <f>SUMIFS(#REF!,#REF!, CMSRegion10[[#This Row],[CMS Region Number]]) / (SUMIFS(#REF!,#REF!, CMSRegion10[[#This Row],[CMS Region Number]],#REF!, "&lt;&gt;1"))*60</f>
        <v>#REF!</v>
      </c>
      <c r="J9" s="22" t="e">
        <f>RANK(CMSRegion10[[#This Row],[Total NonNurse MPRD]], CMSRegion10[Total NonNurse MPRD])</f>
        <v>#REF!</v>
      </c>
      <c r="L9" t="s">
        <v>51</v>
      </c>
      <c r="M9" s="22" t="e">
        <f>(SUMIFS(#REF!,#REF!, State11[[#This Row],[State]],#REF!, "&lt;&gt;1"))</f>
        <v>#REF!</v>
      </c>
      <c r="N9" s="22" t="e">
        <f>COUNTIFS(#REF!, State11[[#This Row],[State]],#REF!, "&lt;&gt;1")</f>
        <v>#REF!</v>
      </c>
      <c r="O9" s="23" t="e">
        <f>SUMIFS(#REF!,#REF!, State11[[#This Row],[State]]) / (SUMIFS(#REF!,#REF!, State11[[#This Row],[State]],#REF!, "&lt;&gt;1"))*60</f>
        <v>#REF!</v>
      </c>
      <c r="P9" s="24" t="e">
        <f>RANK(State11[[#This Row],[Total NonNurse MPRD]], State11[Total NonNurse MPRD])</f>
        <v>#REF!</v>
      </c>
      <c r="R9" s="22" t="s">
        <v>274</v>
      </c>
      <c r="S9" s="22" t="e">
        <f>SUM(#REF!)</f>
        <v>#REF!</v>
      </c>
      <c r="T9" s="23" t="e">
        <f>Category12[[#This Row],[US Total Hours]]/SUM(#REF!)*60</f>
        <v>#REF!</v>
      </c>
      <c r="U9" s="43" t="e">
        <f>COUNTIF(#REF!, 0)</f>
        <v>#REF!</v>
      </c>
      <c r="V9" s="28"/>
      <c r="W9" s="28"/>
      <c r="X9" s="28"/>
      <c r="Y9" s="28"/>
    </row>
    <row r="10" spans="2:25" ht="15" customHeight="1" x14ac:dyDescent="0.2">
      <c r="B10" s="49" t="s">
        <v>275</v>
      </c>
      <c r="C10" s="33">
        <f>COUNTA(#REF!)</f>
        <v>1</v>
      </c>
      <c r="D10" s="33"/>
      <c r="F10" s="3">
        <v>8</v>
      </c>
      <c r="G10" s="22" t="e">
        <f>(SUMIFS(#REF!,#REF!, CMSRegion10[[#This Row],[CMS Region Number]],#REF!, "&lt;&gt;1"))</f>
        <v>#REF!</v>
      </c>
      <c r="H10" s="22" t="e">
        <f>COUNTIFS(#REF!, CMSRegion10[[#This Row],[CMS Region Number]],#REF!, "&lt;&gt;1")</f>
        <v>#REF!</v>
      </c>
      <c r="I10" s="23" t="e">
        <f>SUMIFS(#REF!,#REF!, CMSRegion10[[#This Row],[CMS Region Number]]) / (SUMIFS(#REF!,#REF!, CMSRegion10[[#This Row],[CMS Region Number]],#REF!, "&lt;&gt;1"))*60</f>
        <v>#REF!</v>
      </c>
      <c r="J10" s="22" t="e">
        <f>RANK(CMSRegion10[[#This Row],[Total NonNurse MPRD]], CMSRegion10[Total NonNurse MPRD])</f>
        <v>#REF!</v>
      </c>
      <c r="L10" t="s">
        <v>53</v>
      </c>
      <c r="M10" s="22" t="e">
        <f>(SUMIFS(#REF!,#REF!, State11[[#This Row],[State]],#REF!, "&lt;&gt;1"))</f>
        <v>#REF!</v>
      </c>
      <c r="N10" s="22" t="e">
        <f>COUNTIFS(#REF!, State11[[#This Row],[State]],#REF!, "&lt;&gt;1")</f>
        <v>#REF!</v>
      </c>
      <c r="O10" s="23" t="e">
        <f>SUMIFS(#REF!,#REF!, State11[[#This Row],[State]]) / (SUMIFS(#REF!,#REF!, State11[[#This Row],[State]],#REF!, "&lt;&gt;1"))*60</f>
        <v>#REF!</v>
      </c>
      <c r="P10" s="24" t="e">
        <f>RANK(State11[[#This Row],[Total NonNurse MPRD]], State11[Total NonNurse MPRD])</f>
        <v>#REF!</v>
      </c>
      <c r="R10" s="54" t="s">
        <v>265</v>
      </c>
      <c r="S10" s="55" t="e">
        <f>SUM(#REF!,#REF!)</f>
        <v>#REF!</v>
      </c>
      <c r="T10" s="56" t="e">
        <f>Category12[[#This Row],[US Total Hours]]/SUM(#REF!)*60</f>
        <v>#REF!</v>
      </c>
      <c r="U10" s="57" t="e">
        <f>COUNTIF(#REF!, 0)</f>
        <v>#REF!</v>
      </c>
      <c r="V10" s="28"/>
      <c r="W10" s="28"/>
      <c r="X10" s="28"/>
      <c r="Y10" s="28"/>
    </row>
    <row r="11" spans="2:25" ht="15" customHeight="1" x14ac:dyDescent="0.2">
      <c r="B11" s="49" t="s">
        <v>252</v>
      </c>
      <c r="C11" s="33" t="e">
        <f>SUM(#REF!)</f>
        <v>#REF!</v>
      </c>
      <c r="D11" s="33"/>
      <c r="F11" s="3">
        <v>9</v>
      </c>
      <c r="G11" s="22" t="e">
        <f>(SUMIFS(#REF!,#REF!, CMSRegion10[[#This Row],[CMS Region Number]],#REF!, "&lt;&gt;1"))</f>
        <v>#REF!</v>
      </c>
      <c r="H11" s="22" t="e">
        <f>COUNTIFS(#REF!, CMSRegion10[[#This Row],[CMS Region Number]],#REF!, "&lt;&gt;1")</f>
        <v>#REF!</v>
      </c>
      <c r="I11" s="23" t="e">
        <f>SUMIFS(#REF!,#REF!, CMSRegion10[[#This Row],[CMS Region Number]]) / (SUMIFS(#REF!,#REF!, CMSRegion10[[#This Row],[CMS Region Number]],#REF!, "&lt;&gt;1"))*60</f>
        <v>#REF!</v>
      </c>
      <c r="J11" s="22" t="e">
        <f>RANK(CMSRegion10[[#This Row],[Total NonNurse MPRD]], CMSRegion10[Total NonNurse MPRD])</f>
        <v>#REF!</v>
      </c>
      <c r="L11" t="s">
        <v>54</v>
      </c>
      <c r="M11" s="22" t="e">
        <f>(SUMIFS(#REF!,#REF!, State11[[#This Row],[State]],#REF!, "&lt;&gt;1"))</f>
        <v>#REF!</v>
      </c>
      <c r="N11" s="22" t="e">
        <f>COUNTIFS(#REF!, State11[[#This Row],[State]],#REF!, "&lt;&gt;1")</f>
        <v>#REF!</v>
      </c>
      <c r="O11" s="23" t="e">
        <f>SUMIFS(#REF!,#REF!, State11[[#This Row],[State]]) / (SUMIFS(#REF!,#REF!, State11[[#This Row],[State]],#REF!, "&lt;&gt;1"))*60</f>
        <v>#REF!</v>
      </c>
      <c r="P11" s="24" t="e">
        <f>RANK(State11[[#This Row],[Total NonNurse MPRD]], State11[Total NonNurse MPRD])</f>
        <v>#REF!</v>
      </c>
      <c r="R11" s="22" t="s">
        <v>276</v>
      </c>
      <c r="S11" s="22" t="e">
        <f>SUM(#REF!)</f>
        <v>#REF!</v>
      </c>
      <c r="T11" s="23" t="e">
        <f>Category12[[#This Row],[US Total Hours]]/SUM(#REF!)*60</f>
        <v>#REF!</v>
      </c>
      <c r="U11" s="43" t="e">
        <f>COUNTIF(#REF!, 0)</f>
        <v>#REF!</v>
      </c>
      <c r="V11" s="28"/>
      <c r="W11" s="28"/>
      <c r="X11" s="28"/>
      <c r="Y11" s="28"/>
    </row>
    <row r="12" spans="2:25" ht="15" customHeight="1" x14ac:dyDescent="0.2">
      <c r="B12" s="50" t="s">
        <v>277</v>
      </c>
      <c r="C12" s="21" t="e">
        <f>AVERAGE(#REF!)</f>
        <v>#REF!</v>
      </c>
      <c r="D12" s="21"/>
      <c r="F12" s="3">
        <v>10</v>
      </c>
      <c r="G12" s="22" t="e">
        <f>(SUMIFS(#REF!,#REF!, CMSRegion10[[#This Row],[CMS Region Number]],#REF!, "&lt;&gt;1"))</f>
        <v>#REF!</v>
      </c>
      <c r="H12" s="22" t="e">
        <f>COUNTIFS(#REF!, CMSRegion10[[#This Row],[CMS Region Number]],#REF!, "&lt;&gt;1")</f>
        <v>#REF!</v>
      </c>
      <c r="I12" s="23" t="e">
        <f>SUMIFS(#REF!,#REF!, CMSRegion10[[#This Row],[CMS Region Number]]) / (SUMIFS(#REF!,#REF!, CMSRegion10[[#This Row],[CMS Region Number]],#REF!, "&lt;&gt;1"))*60</f>
        <v>#REF!</v>
      </c>
      <c r="J12" s="22" t="e">
        <f>RANK(CMSRegion10[[#This Row],[Total NonNurse MPRD]], CMSRegion10[Total NonNurse MPRD])</f>
        <v>#REF!</v>
      </c>
      <c r="L12" t="s">
        <v>55</v>
      </c>
      <c r="M12" s="22" t="e">
        <f>(SUMIFS(#REF!,#REF!, State11[[#This Row],[State]],#REF!, "&lt;&gt;1"))</f>
        <v>#REF!</v>
      </c>
      <c r="N12" s="22" t="e">
        <f>COUNTIFS(#REF!, State11[[#This Row],[State]],#REF!, "&lt;&gt;1")</f>
        <v>#REF!</v>
      </c>
      <c r="O12" s="23" t="e">
        <f>SUMIFS(#REF!,#REF!, State11[[#This Row],[State]]) / (SUMIFS(#REF!,#REF!, State11[[#This Row],[State]],#REF!, "&lt;&gt;1"))*60</f>
        <v>#REF!</v>
      </c>
      <c r="P12" s="24" t="e">
        <f>RANK(State11[[#This Row],[Total NonNurse MPRD]], State11[Total NonNurse MPRD])</f>
        <v>#REF!</v>
      </c>
      <c r="R12" s="22" t="s">
        <v>278</v>
      </c>
      <c r="S12" s="22" t="e">
        <f>SUM(#REF!)</f>
        <v>#REF!</v>
      </c>
      <c r="T12" s="23" t="e">
        <f>Category12[[#This Row],[US Total Hours]]/SUM(#REF!)*60</f>
        <v>#REF!</v>
      </c>
      <c r="U12" s="43" t="e">
        <f>COUNTIF(#REF!, 0)</f>
        <v>#REF!</v>
      </c>
      <c r="V12" s="28"/>
      <c r="W12" s="28"/>
      <c r="X12" s="28"/>
      <c r="Y12" s="28"/>
    </row>
    <row r="13" spans="2:25" ht="15" customHeight="1" x14ac:dyDescent="0.2">
      <c r="B13" s="51" t="s">
        <v>279</v>
      </c>
      <c r="C13" s="52" t="e">
        <f>COUNTIF(#REF!, 1)</f>
        <v>#REF!</v>
      </c>
      <c r="J13" s="22"/>
      <c r="L13" t="s">
        <v>57</v>
      </c>
      <c r="M13" s="22" t="e">
        <f>(SUMIFS(#REF!,#REF!, State11[[#This Row],[State]],#REF!, "&lt;&gt;1"))</f>
        <v>#REF!</v>
      </c>
      <c r="N13" s="22" t="e">
        <f>COUNTIFS(#REF!, State11[[#This Row],[State]],#REF!, "&lt;&gt;1")</f>
        <v>#REF!</v>
      </c>
      <c r="O13" s="23" t="e">
        <f>SUMIFS(#REF!,#REF!, State11[[#This Row],[State]]) / (SUMIFS(#REF!,#REF!, State11[[#This Row],[State]],#REF!, "&lt;&gt;1"))*60</f>
        <v>#REF!</v>
      </c>
      <c r="P13" s="24" t="e">
        <f>RANK(State11[[#This Row],[Total NonNurse MPRD]], State11[Total NonNurse MPRD])</f>
        <v>#REF!</v>
      </c>
      <c r="R13" s="54" t="s">
        <v>280</v>
      </c>
      <c r="S13" s="55" t="e">
        <f xml:space="preserve"> SUM(#REF!,#REF!)</f>
        <v>#REF!</v>
      </c>
      <c r="T13" s="56" t="e">
        <f>Category12[[#This Row],[US Total Hours]]/SUM(#REF!)*60</f>
        <v>#REF!</v>
      </c>
      <c r="U13" s="55" t="e">
        <f>COUNTIF(#REF!, 0)</f>
        <v>#REF!</v>
      </c>
      <c r="V13" s="28"/>
      <c r="W13" s="28"/>
      <c r="X13" s="28"/>
      <c r="Y13" s="28"/>
    </row>
    <row r="14" spans="2:25" ht="15" customHeight="1" x14ac:dyDescent="0.2">
      <c r="G14" s="23"/>
      <c r="H14" s="23"/>
      <c r="J14" s="22"/>
      <c r="L14" t="s">
        <v>58</v>
      </c>
      <c r="M14" s="22" t="e">
        <f>(SUMIFS(#REF!,#REF!, State11[[#This Row],[State]],#REF!, "&lt;&gt;1"))</f>
        <v>#REF!</v>
      </c>
      <c r="N14" s="22" t="e">
        <f>COUNTIFS(#REF!, State11[[#This Row],[State]],#REF!, "&lt;&gt;1")</f>
        <v>#REF!</v>
      </c>
      <c r="O14" s="23" t="e">
        <f>SUMIFS(#REF!,#REF!, State11[[#This Row],[State]]) / (SUMIFS(#REF!,#REF!, State11[[#This Row],[State]],#REF!, "&lt;&gt;1"))*60</f>
        <v>#REF!</v>
      </c>
      <c r="P14" s="24" t="e">
        <f>RANK(State11[[#This Row],[Total NonNurse MPRD]], State11[Total NonNurse MPRD])</f>
        <v>#REF!</v>
      </c>
      <c r="R14" s="22" t="s">
        <v>281</v>
      </c>
      <c r="S14" s="22" t="e">
        <f>SUM(#REF!)</f>
        <v>#REF!</v>
      </c>
      <c r="T14" s="23" t="e">
        <f>Category12[[#This Row],[US Total Hours]]/SUM(#REF!)*60</f>
        <v>#REF!</v>
      </c>
      <c r="U14" s="22" t="e">
        <f>COUNTIF(#REF!, 0)</f>
        <v>#REF!</v>
      </c>
    </row>
    <row r="15" spans="2:25" ht="15" customHeight="1" x14ac:dyDescent="0.2">
      <c r="J15" s="22"/>
      <c r="L15" t="s">
        <v>59</v>
      </c>
      <c r="M15" s="22" t="e">
        <f>(SUMIFS(#REF!,#REF!, State11[[#This Row],[State]],#REF!, "&lt;&gt;1"))</f>
        <v>#REF!</v>
      </c>
      <c r="N15" s="22" t="e">
        <f>COUNTIFS(#REF!, State11[[#This Row],[State]],#REF!, "&lt;&gt;1")</f>
        <v>#REF!</v>
      </c>
      <c r="O15" s="23" t="e">
        <f>SUMIFS(#REF!,#REF!, State11[[#This Row],[State]]) / (SUMIFS(#REF!,#REF!, State11[[#This Row],[State]],#REF!, "&lt;&gt;1"))*60</f>
        <v>#REF!</v>
      </c>
      <c r="P15" s="24" t="e">
        <f>RANK(State11[[#This Row],[Total NonNurse MPRD]], State11[Total NonNurse MPRD])</f>
        <v>#REF!</v>
      </c>
      <c r="R15" s="22" t="s">
        <v>282</v>
      </c>
      <c r="S15" s="31" t="e">
        <f>SUM(#REF!)</f>
        <v>#REF!</v>
      </c>
      <c r="T15" s="23" t="e">
        <f>Category12[[#This Row],[US Total Hours]]/SUM(#REF!)*60</f>
        <v>#REF!</v>
      </c>
      <c r="U15" s="22" t="e">
        <f>COUNTIF(#REF!, 0)</f>
        <v>#REF!</v>
      </c>
    </row>
    <row r="16" spans="2:25" ht="15" customHeight="1" x14ac:dyDescent="0.2">
      <c r="J16" s="22"/>
      <c r="L16" t="s">
        <v>61</v>
      </c>
      <c r="M16" s="22" t="e">
        <f>(SUMIFS(#REF!,#REF!, State11[[#This Row],[State]],#REF!, "&lt;&gt;1"))</f>
        <v>#REF!</v>
      </c>
      <c r="N16" s="22" t="e">
        <f>COUNTIFS(#REF!, State11[[#This Row],[State]],#REF!, "&lt;&gt;1")</f>
        <v>#REF!</v>
      </c>
      <c r="O16" s="23" t="e">
        <f>SUMIFS(#REF!,#REF!, State11[[#This Row],[State]]) / (SUMIFS(#REF!,#REF!, State11[[#This Row],[State]],#REF!, "&lt;&gt;1"))*60</f>
        <v>#REF!</v>
      </c>
      <c r="P16" s="24" t="e">
        <f>RANK(State11[[#This Row],[Total NonNurse MPRD]], State11[Total NonNurse MPRD])</f>
        <v>#REF!</v>
      </c>
      <c r="R16" s="54" t="s">
        <v>283</v>
      </c>
      <c r="S16" s="55" t="e">
        <f xml:space="preserve"> SUM(#REF!,#REF!,#REF!)</f>
        <v>#REF!</v>
      </c>
      <c r="T16" s="56" t="e">
        <f>Category12[[#This Row],[US Total Hours]]/SUM(#REF!)*60</f>
        <v>#REF!</v>
      </c>
      <c r="U16" s="55" t="e">
        <f>COUNTIF(#REF!, 0)</f>
        <v>#REF!</v>
      </c>
    </row>
    <row r="17" spans="10:22" ht="15" customHeight="1" x14ac:dyDescent="0.2">
      <c r="J17" s="22"/>
      <c r="L17" t="s">
        <v>62</v>
      </c>
      <c r="M17" s="22" t="e">
        <f>(SUMIFS(#REF!,#REF!, State11[[#This Row],[State]],#REF!, "&lt;&gt;1"))</f>
        <v>#REF!</v>
      </c>
      <c r="N17" s="22" t="e">
        <f>COUNTIFS(#REF!, State11[[#This Row],[State]],#REF!, "&lt;&gt;1")</f>
        <v>#REF!</v>
      </c>
      <c r="O17" s="23" t="e">
        <f>SUMIFS(#REF!,#REF!, State11[[#This Row],[State]]) / (SUMIFS(#REF!,#REF!, State11[[#This Row],[State]],#REF!, "&lt;&gt;1"))*60</f>
        <v>#REF!</v>
      </c>
      <c r="P17" s="24" t="e">
        <f>RANK(State11[[#This Row],[Total NonNurse MPRD]], State11[Total NonNurse MPRD])</f>
        <v>#REF!</v>
      </c>
      <c r="R17" s="22" t="s">
        <v>284</v>
      </c>
      <c r="S17" s="22" t="e">
        <f>SUM(#REF!)</f>
        <v>#REF!</v>
      </c>
      <c r="T17" s="23" t="e">
        <f>Category12[[#This Row],[US Total Hours]]/SUM(#REF!)*60</f>
        <v>#REF!</v>
      </c>
      <c r="U17" s="22" t="e">
        <f>COUNTIF(#REF!, 0)</f>
        <v>#REF!</v>
      </c>
    </row>
    <row r="18" spans="10:22" ht="15" customHeight="1" x14ac:dyDescent="0.2">
      <c r="J18" s="22"/>
      <c r="L18" t="s">
        <v>63</v>
      </c>
      <c r="M18" s="22" t="e">
        <f>(SUMIFS(#REF!,#REF!, State11[[#This Row],[State]],#REF!, "&lt;&gt;1"))</f>
        <v>#REF!</v>
      </c>
      <c r="N18" s="22" t="e">
        <f>COUNTIFS(#REF!, State11[[#This Row],[State]],#REF!, "&lt;&gt;1")</f>
        <v>#REF!</v>
      </c>
      <c r="O18" s="23" t="e">
        <f>SUMIFS(#REF!,#REF!, State11[[#This Row],[State]]) / (SUMIFS(#REF!,#REF!, State11[[#This Row],[State]],#REF!, "&lt;&gt;1"))*60</f>
        <v>#REF!</v>
      </c>
      <c r="P18" s="24" t="e">
        <f>RANK(State11[[#This Row],[Total NonNurse MPRD]], State11[Total NonNurse MPRD])</f>
        <v>#REF!</v>
      </c>
      <c r="R18" s="22" t="s">
        <v>285</v>
      </c>
      <c r="S18" s="22" t="e">
        <f>SUM(#REF!)</f>
        <v>#REF!</v>
      </c>
      <c r="T18" s="23" t="e">
        <f>Category12[[#This Row],[US Total Hours]]/SUM(#REF!)*60</f>
        <v>#REF!</v>
      </c>
      <c r="U18" s="22" t="e">
        <f>COUNTIF(#REF!, 0)</f>
        <v>#REF!</v>
      </c>
    </row>
    <row r="19" spans="10:22" ht="15" customHeight="1" x14ac:dyDescent="0.2">
      <c r="L19" t="s">
        <v>68</v>
      </c>
      <c r="M19" s="22" t="e">
        <f>(SUMIFS(#REF!,#REF!, State11[[#This Row],[State]],#REF!, "&lt;&gt;1"))</f>
        <v>#REF!</v>
      </c>
      <c r="N19" s="22" t="e">
        <f>COUNTIFS(#REF!, State11[[#This Row],[State]],#REF!, "&lt;&gt;1")</f>
        <v>#REF!</v>
      </c>
      <c r="O19" s="23" t="e">
        <f>SUMIFS(#REF!,#REF!, State11[[#This Row],[State]]) / (SUMIFS(#REF!,#REF!, State11[[#This Row],[State]],#REF!, "&lt;&gt;1"))*60</f>
        <v>#REF!</v>
      </c>
      <c r="P19" s="24" t="e">
        <f>RANK(State11[[#This Row],[Total NonNurse MPRD]], State11[Total NonNurse MPRD])</f>
        <v>#REF!</v>
      </c>
      <c r="R19" s="22" t="s">
        <v>286</v>
      </c>
      <c r="S19" s="32" t="e">
        <f>SUM(#REF!)</f>
        <v>#REF!</v>
      </c>
      <c r="T19" s="23" t="e">
        <f>Category12[[#This Row],[US Total Hours]]/SUM(#REF!)*60</f>
        <v>#REF!</v>
      </c>
      <c r="U19" s="22" t="e">
        <f>COUNTIF(#REF!, 0)</f>
        <v>#REF!</v>
      </c>
    </row>
    <row r="20" spans="10:22" ht="15" customHeight="1" x14ac:dyDescent="0.2">
      <c r="L20" t="s">
        <v>69</v>
      </c>
      <c r="M20" s="22" t="e">
        <f>(SUMIFS(#REF!,#REF!, State11[[#This Row],[State]],#REF!, "&lt;&gt;1"))</f>
        <v>#REF!</v>
      </c>
      <c r="N20" s="22" t="e">
        <f>COUNTIFS(#REF!, State11[[#This Row],[State]],#REF!, "&lt;&gt;1")</f>
        <v>#REF!</v>
      </c>
      <c r="O20" s="23" t="e">
        <f>SUMIFS(#REF!,#REF!, State11[[#This Row],[State]]) / (SUMIFS(#REF!,#REF!, State11[[#This Row],[State]],#REF!, "&lt;&gt;1"))*60</f>
        <v>#REF!</v>
      </c>
      <c r="P20" s="24" t="e">
        <f>RANK(State11[[#This Row],[Total NonNurse MPRD]], State11[Total NonNurse MPRD])</f>
        <v>#REF!</v>
      </c>
      <c r="R20" s="54" t="s">
        <v>287</v>
      </c>
      <c r="S20" s="58" t="e">
        <f xml:space="preserve"> SUM(#REF!,#REF!,#REF!)</f>
        <v>#REF!</v>
      </c>
      <c r="T20" s="56" t="e">
        <f>Category12[[#This Row],[US Total Hours]]/SUM(#REF!)*60</f>
        <v>#REF!</v>
      </c>
      <c r="U20" s="55" t="e">
        <f>COUNTIF(#REF!, 0)</f>
        <v>#REF!</v>
      </c>
    </row>
    <row r="21" spans="10:22" ht="15" customHeight="1" x14ac:dyDescent="0.2">
      <c r="L21" t="s">
        <v>70</v>
      </c>
      <c r="M21" s="22" t="e">
        <f>(SUMIFS(#REF!,#REF!, State11[[#This Row],[State]],#REF!, "&lt;&gt;1"))</f>
        <v>#REF!</v>
      </c>
      <c r="N21" s="22" t="e">
        <f>COUNTIFS(#REF!, State11[[#This Row],[State]],#REF!, "&lt;&gt;1")</f>
        <v>#REF!</v>
      </c>
      <c r="O21" s="23" t="e">
        <f>SUMIFS(#REF!,#REF!, State11[[#This Row],[State]]) / (SUMIFS(#REF!,#REF!, State11[[#This Row],[State]],#REF!, "&lt;&gt;1"))*60</f>
        <v>#REF!</v>
      </c>
      <c r="P21" s="24" t="e">
        <f>RANK(State11[[#This Row],[Total NonNurse MPRD]], State11[Total NonNurse MPRD])</f>
        <v>#REF!</v>
      </c>
      <c r="R21" s="22" t="s">
        <v>288</v>
      </c>
      <c r="S21" s="22" t="e">
        <f>SUM(#REF!)</f>
        <v>#REF!</v>
      </c>
      <c r="T21" s="23" t="e">
        <f>Category12[[#This Row],[US Total Hours]]/SUM(#REF!)*60</f>
        <v>#REF!</v>
      </c>
      <c r="U21" s="22" t="e">
        <f>COUNTIF(#REF!, 0)</f>
        <v>#REF!</v>
      </c>
    </row>
    <row r="22" spans="10:22" ht="15" customHeight="1" x14ac:dyDescent="0.2">
      <c r="L22" t="s">
        <v>71</v>
      </c>
      <c r="M22" s="22" t="e">
        <f>(SUMIFS(#REF!,#REF!, State11[[#This Row],[State]],#REF!, "&lt;&gt;1"))</f>
        <v>#REF!</v>
      </c>
      <c r="N22" s="22" t="e">
        <f>COUNTIFS(#REF!, State11[[#This Row],[State]],#REF!, "&lt;&gt;1")</f>
        <v>#REF!</v>
      </c>
      <c r="O22" s="23" t="e">
        <f>SUMIFS(#REF!,#REF!, State11[[#This Row],[State]]) / (SUMIFS(#REF!,#REF!, State11[[#This Row],[State]],#REF!, "&lt;&gt;1"))*60</f>
        <v>#REF!</v>
      </c>
      <c r="P22" s="24" t="e">
        <f>RANK(State11[[#This Row],[Total NonNurse MPRD]], State11[Total NonNurse MPRD])</f>
        <v>#REF!</v>
      </c>
      <c r="R22" s="22" t="s">
        <v>289</v>
      </c>
      <c r="S22" s="22" t="e">
        <f>SUM(#REF!)</f>
        <v>#REF!</v>
      </c>
      <c r="T22" s="23" t="e">
        <f>Category12[[#This Row],[US Total Hours]]/SUM(#REF!)*60</f>
        <v>#REF!</v>
      </c>
      <c r="U22" s="22" t="e">
        <f>COUNTIF(#REF!, 0)</f>
        <v>#REF!</v>
      </c>
    </row>
    <row r="23" spans="10:22" ht="15" customHeight="1" x14ac:dyDescent="0.2">
      <c r="L23" t="s">
        <v>74</v>
      </c>
      <c r="M23" s="22" t="e">
        <f>(SUMIFS(#REF!,#REF!, State11[[#This Row],[State]],#REF!, "&lt;&gt;1"))</f>
        <v>#REF!</v>
      </c>
      <c r="N23" s="22" t="e">
        <f>COUNTIFS(#REF!, State11[[#This Row],[State]],#REF!, "&lt;&gt;1")</f>
        <v>#REF!</v>
      </c>
      <c r="O23" s="23" t="e">
        <f>SUMIFS(#REF!,#REF!, State11[[#This Row],[State]]) / (SUMIFS(#REF!,#REF!, State11[[#This Row],[State]],#REF!, "&lt;&gt;1"))*60</f>
        <v>#REF!</v>
      </c>
      <c r="P23" s="24" t="e">
        <f>RANK(State11[[#This Row],[Total NonNurse MPRD]], State11[Total NonNurse MPRD])</f>
        <v>#REF!</v>
      </c>
      <c r="R23" s="22" t="s">
        <v>290</v>
      </c>
      <c r="S23" s="32" t="e">
        <f>SUM(#REF!)</f>
        <v>#REF!</v>
      </c>
      <c r="T23" s="23" t="e">
        <f>Category12[[#This Row],[US Total Hours]]/SUM(#REF!)*60</f>
        <v>#REF!</v>
      </c>
      <c r="U23" s="22" t="e">
        <f>COUNTIF(#REF!, 0)</f>
        <v>#REF!</v>
      </c>
    </row>
    <row r="24" spans="10:22" ht="15" customHeight="1" x14ac:dyDescent="0.2">
      <c r="L24" t="s">
        <v>76</v>
      </c>
      <c r="M24" s="22" t="e">
        <f>(SUMIFS(#REF!,#REF!, State11[[#This Row],[State]],#REF!, "&lt;&gt;1"))</f>
        <v>#REF!</v>
      </c>
      <c r="N24" s="22" t="e">
        <f>COUNTIFS(#REF!, State11[[#This Row],[State]],#REF!, "&lt;&gt;1")</f>
        <v>#REF!</v>
      </c>
      <c r="O24" s="23" t="e">
        <f>SUMIFS(#REF!,#REF!, State11[[#This Row],[State]]) / (SUMIFS(#REF!,#REF!, State11[[#This Row],[State]],#REF!, "&lt;&gt;1"))*60</f>
        <v>#REF!</v>
      </c>
      <c r="P24" s="24" t="e">
        <f>RANK(State11[[#This Row],[Total NonNurse MPRD]], State11[Total NonNurse MPRD])</f>
        <v>#REF!</v>
      </c>
      <c r="R24" s="22" t="s">
        <v>291</v>
      </c>
      <c r="S24" s="32" t="e">
        <f>SUM(#REF!)</f>
        <v>#REF!</v>
      </c>
      <c r="T24" s="23" t="e">
        <f>Category12[[#This Row],[US Total Hours]]/SUM(#REF!)*60</f>
        <v>#REF!</v>
      </c>
      <c r="U24" s="22" t="e">
        <f>COUNTIF(#REF!, 0)</f>
        <v>#REF!</v>
      </c>
    </row>
    <row r="25" spans="10:22" ht="15" customHeight="1" x14ac:dyDescent="0.2">
      <c r="L25" t="s">
        <v>77</v>
      </c>
      <c r="M25" s="22" t="e">
        <f>(SUMIFS(#REF!,#REF!, State11[[#This Row],[State]],#REF!, "&lt;&gt;1"))</f>
        <v>#REF!</v>
      </c>
      <c r="N25" s="22" t="e">
        <f>COUNTIFS(#REF!, State11[[#This Row],[State]],#REF!, "&lt;&gt;1")</f>
        <v>#REF!</v>
      </c>
      <c r="O25" s="23" t="e">
        <f>SUMIFS(#REF!,#REF!, State11[[#This Row],[State]]) / (SUMIFS(#REF!,#REF!, State11[[#This Row],[State]],#REF!, "&lt;&gt;1"))*60</f>
        <v>#REF!</v>
      </c>
      <c r="P25" s="24" t="e">
        <f>RANK(State11[[#This Row],[Total NonNurse MPRD]], State11[Total NonNurse MPRD])</f>
        <v>#REF!</v>
      </c>
      <c r="R25" s="22" t="s">
        <v>292</v>
      </c>
      <c r="S25" s="32" t="e">
        <f>SUM(#REF!)</f>
        <v>#REF!</v>
      </c>
      <c r="T25" s="23" t="e">
        <f>Category12[[#This Row],[US Total Hours]]/SUM(#REF!)*60</f>
        <v>#REF!</v>
      </c>
      <c r="U25" s="22" t="e">
        <f>COUNTIF(#REF!, 0)</f>
        <v>#REF!</v>
      </c>
    </row>
    <row r="26" spans="10:22" ht="15" customHeight="1" x14ac:dyDescent="0.2">
      <c r="L26" t="s">
        <v>78</v>
      </c>
      <c r="M26" s="22" t="e">
        <f>(SUMIFS(#REF!,#REF!, State11[[#This Row],[State]],#REF!, "&lt;&gt;1"))</f>
        <v>#REF!</v>
      </c>
      <c r="N26" s="22" t="e">
        <f>COUNTIFS(#REF!, State11[[#This Row],[State]],#REF!, "&lt;&gt;1")</f>
        <v>#REF!</v>
      </c>
      <c r="O26" s="23" t="e">
        <f>SUMIFS(#REF!,#REF!, State11[[#This Row],[State]]) / (SUMIFS(#REF!,#REF!, State11[[#This Row],[State]],#REF!, "&lt;&gt;1"))*60</f>
        <v>#REF!</v>
      </c>
      <c r="P26" s="24" t="e">
        <f>RANK(State11[[#This Row],[Total NonNurse MPRD]], State11[Total NonNurse MPRD])</f>
        <v>#REF!</v>
      </c>
      <c r="R26" s="22" t="s">
        <v>293</v>
      </c>
      <c r="S26" s="32" t="e">
        <f>SUM(#REF!)</f>
        <v>#REF!</v>
      </c>
      <c r="T26" s="23" t="e">
        <f>Category12[[#This Row],[US Total Hours]]/SUM(#REF!)*60</f>
        <v>#REF!</v>
      </c>
      <c r="U26" s="22" t="e">
        <f>COUNTIF(#REF!, 0)</f>
        <v>#REF!</v>
      </c>
      <c r="V26" s="22"/>
    </row>
    <row r="27" spans="10:22" ht="15" customHeight="1" x14ac:dyDescent="0.2">
      <c r="L27" t="s">
        <v>79</v>
      </c>
      <c r="M27" s="22" t="e">
        <f>(SUMIFS(#REF!,#REF!, State11[[#This Row],[State]],#REF!, "&lt;&gt;1"))</f>
        <v>#REF!</v>
      </c>
      <c r="N27" s="22" t="e">
        <f>COUNTIFS(#REF!, State11[[#This Row],[State]],#REF!, "&lt;&gt;1")</f>
        <v>#REF!</v>
      </c>
      <c r="O27" s="23" t="e">
        <f>SUMIFS(#REF!,#REF!, State11[[#This Row],[State]]) / (SUMIFS(#REF!,#REF!, State11[[#This Row],[State]],#REF!, "&lt;&gt;1"))*60</f>
        <v>#REF!</v>
      </c>
      <c r="P27" s="24" t="e">
        <f>RANK(State11[[#This Row],[Total NonNurse MPRD]], State11[Total NonNurse MPRD])</f>
        <v>#REF!</v>
      </c>
      <c r="R27" s="22" t="s">
        <v>294</v>
      </c>
      <c r="S27" s="32" t="e">
        <f>SUM(#REF!)</f>
        <v>#REF!</v>
      </c>
      <c r="T27" s="23" t="e">
        <f>Category12[[#This Row],[US Total Hours]]/SUM(#REF!)*60</f>
        <v>#REF!</v>
      </c>
      <c r="U27" s="22" t="e">
        <f>COUNTIF(#REF!, 0)</f>
        <v>#REF!</v>
      </c>
    </row>
    <row r="28" spans="10:22" ht="15" customHeight="1" x14ac:dyDescent="0.2">
      <c r="L28" t="s">
        <v>80</v>
      </c>
      <c r="M28" s="22" t="e">
        <f>(SUMIFS(#REF!,#REF!, State11[[#This Row],[State]],#REF!, "&lt;&gt;1"))</f>
        <v>#REF!</v>
      </c>
      <c r="N28" s="22" t="e">
        <f>COUNTIFS(#REF!, State11[[#This Row],[State]],#REF!, "&lt;&gt;1")</f>
        <v>#REF!</v>
      </c>
      <c r="O28" s="23" t="e">
        <f>SUMIFS(#REF!,#REF!, State11[[#This Row],[State]]) / (SUMIFS(#REF!,#REF!, State11[[#This Row],[State]],#REF!, "&lt;&gt;1"))*60</f>
        <v>#REF!</v>
      </c>
      <c r="P28" s="24" t="e">
        <f>RANK(State11[[#This Row],[Total NonNurse MPRD]], State11[Total NonNurse MPRD])</f>
        <v>#REF!</v>
      </c>
      <c r="R28" s="22" t="s">
        <v>295</v>
      </c>
      <c r="S28" s="22" t="e">
        <f>SUM(#REF!)</f>
        <v>#REF!</v>
      </c>
      <c r="T28" s="23" t="e">
        <f>Category12[[#This Row],[US Total Hours]]/SUM(#REF!)*60</f>
        <v>#REF!</v>
      </c>
      <c r="U28" s="22" t="e">
        <f>COUNTIF(#REF!, 0)</f>
        <v>#REF!</v>
      </c>
    </row>
    <row r="29" spans="10:22" ht="15" customHeight="1" x14ac:dyDescent="0.2">
      <c r="L29" t="s">
        <v>81</v>
      </c>
      <c r="M29" s="22" t="e">
        <f>(SUMIFS(#REF!,#REF!, State11[[#This Row],[State]],#REF!, "&lt;&gt;1"))</f>
        <v>#REF!</v>
      </c>
      <c r="N29" s="22" t="e">
        <f>COUNTIFS(#REF!, State11[[#This Row],[State]],#REF!, "&lt;&gt;1")</f>
        <v>#REF!</v>
      </c>
      <c r="O29" s="23" t="e">
        <f>SUMIFS(#REF!,#REF!, State11[[#This Row],[State]]) / (SUMIFS(#REF!,#REF!, State11[[#This Row],[State]],#REF!, "&lt;&gt;1"))*60</f>
        <v>#REF!</v>
      </c>
      <c r="P29" s="24" t="e">
        <f>RANK(State11[[#This Row],[Total NonNurse MPRD]], State11[Total NonNurse MPRD])</f>
        <v>#REF!</v>
      </c>
      <c r="R29" s="22" t="s">
        <v>296</v>
      </c>
      <c r="S29" s="22" t="e">
        <f>SUM(#REF!)</f>
        <v>#REF!</v>
      </c>
      <c r="T29" s="23" t="e">
        <f>Category12[[#This Row],[US Total Hours]]/SUM(#REF!)*60</f>
        <v>#REF!</v>
      </c>
      <c r="U29" s="22" t="e">
        <f>COUNTIF(#REF!, 0)</f>
        <v>#REF!</v>
      </c>
    </row>
    <row r="30" spans="10:22" ht="15" customHeight="1" x14ac:dyDescent="0.2">
      <c r="L30" t="s">
        <v>82</v>
      </c>
      <c r="M30" s="22" t="e">
        <f>(SUMIFS(#REF!,#REF!, State11[[#This Row],[State]],#REF!, "&lt;&gt;1"))</f>
        <v>#REF!</v>
      </c>
      <c r="N30" s="22" t="e">
        <f>COUNTIFS(#REF!, State11[[#This Row],[State]],#REF!, "&lt;&gt;1")</f>
        <v>#REF!</v>
      </c>
      <c r="O30" s="23" t="e">
        <f>SUMIFS(#REF!,#REF!, State11[[#This Row],[State]]) / (SUMIFS(#REF!,#REF!, State11[[#This Row],[State]],#REF!, "&lt;&gt;1"))*60</f>
        <v>#REF!</v>
      </c>
      <c r="P30" s="24" t="e">
        <f>RANK(State11[[#This Row],[Total NonNurse MPRD]], State11[Total NonNurse MPRD])</f>
        <v>#REF!</v>
      </c>
      <c r="R30" s="22" t="s">
        <v>297</v>
      </c>
      <c r="S30" s="22" t="e">
        <f>SUM(#REF!)</f>
        <v>#REF!</v>
      </c>
      <c r="T30" s="23" t="e">
        <f>Category12[[#This Row],[US Total Hours]]/SUM(#REF!)*60</f>
        <v>#REF!</v>
      </c>
      <c r="U30" s="22" t="e">
        <f>COUNTIF(#REF!, 0)</f>
        <v>#REF!</v>
      </c>
    </row>
    <row r="31" spans="10:22" ht="15" customHeight="1" x14ac:dyDescent="0.2">
      <c r="L31" t="s">
        <v>83</v>
      </c>
      <c r="M31" s="22" t="e">
        <f>(SUMIFS(#REF!,#REF!, State11[[#This Row],[State]],#REF!, "&lt;&gt;1"))</f>
        <v>#REF!</v>
      </c>
      <c r="N31" s="22" t="e">
        <f>COUNTIFS(#REF!, State11[[#This Row],[State]],#REF!, "&lt;&gt;1")</f>
        <v>#REF!</v>
      </c>
      <c r="O31" s="23" t="e">
        <f>SUMIFS(#REF!,#REF!, State11[[#This Row],[State]]) / (SUMIFS(#REF!,#REF!, State11[[#This Row],[State]],#REF!, "&lt;&gt;1"))*60</f>
        <v>#REF!</v>
      </c>
      <c r="P31" s="24" t="e">
        <f>RANK(State11[[#This Row],[Total NonNurse MPRD]], State11[Total NonNurse MPRD])</f>
        <v>#REF!</v>
      </c>
      <c r="S31"/>
    </row>
    <row r="32" spans="10:22" ht="15" customHeight="1" x14ac:dyDescent="0.2">
      <c r="L32" t="s">
        <v>84</v>
      </c>
      <c r="M32" s="22" t="e">
        <f>(SUMIFS(#REF!,#REF!, State11[[#This Row],[State]],#REF!, "&lt;&gt;1"))</f>
        <v>#REF!</v>
      </c>
      <c r="N32" s="22" t="e">
        <f>COUNTIFS(#REF!, State11[[#This Row],[State]],#REF!, "&lt;&gt;1")</f>
        <v>#REF!</v>
      </c>
      <c r="O32" s="23" t="e">
        <f>SUMIFS(#REF!,#REF!, State11[[#This Row],[State]]) / (SUMIFS(#REF!,#REF!, State11[[#This Row],[State]],#REF!, "&lt;&gt;1"))*60</f>
        <v>#REF!</v>
      </c>
      <c r="P32" s="24" t="e">
        <f>RANK(State11[[#This Row],[Total NonNurse MPRD]], State11[Total NonNurse MPRD])</f>
        <v>#REF!</v>
      </c>
      <c r="S32" s="36"/>
    </row>
    <row r="33" spans="12:20" ht="15" customHeight="1" x14ac:dyDescent="0.2">
      <c r="L33" t="s">
        <v>85</v>
      </c>
      <c r="M33" s="22" t="e">
        <f>(SUMIFS(#REF!,#REF!, State11[[#This Row],[State]],#REF!, "&lt;&gt;1"))</f>
        <v>#REF!</v>
      </c>
      <c r="N33" s="22" t="e">
        <f>COUNTIFS(#REF!, State11[[#This Row],[State]],#REF!, "&lt;&gt;1")</f>
        <v>#REF!</v>
      </c>
      <c r="O33" s="23" t="e">
        <f>SUMIFS(#REF!,#REF!, State11[[#This Row],[State]]) / (SUMIFS(#REF!,#REF!, State11[[#This Row],[State]],#REF!, "&lt;&gt;1"))*60</f>
        <v>#REF!</v>
      </c>
      <c r="P33" s="24" t="e">
        <f>RANK(State11[[#This Row],[Total NonNurse MPRD]], State11[Total NonNurse MPRD])</f>
        <v>#REF!</v>
      </c>
      <c r="R33"/>
      <c r="S33" s="36"/>
    </row>
    <row r="34" spans="12:20" ht="15" customHeight="1" x14ac:dyDescent="0.2">
      <c r="L34" t="s">
        <v>87</v>
      </c>
      <c r="M34" s="22" t="e">
        <f>(SUMIFS(#REF!,#REF!, State11[[#This Row],[State]],#REF!, "&lt;&gt;1"))</f>
        <v>#REF!</v>
      </c>
      <c r="N34" s="22" t="e">
        <f>COUNTIFS(#REF!, State11[[#This Row],[State]],#REF!, "&lt;&gt;1")</f>
        <v>#REF!</v>
      </c>
      <c r="O34" s="23" t="e">
        <f>SUMIFS(#REF!,#REF!, State11[[#This Row],[State]]) / (SUMIFS(#REF!,#REF!, State11[[#This Row],[State]],#REF!, "&lt;&gt;1"))*60</f>
        <v>#REF!</v>
      </c>
      <c r="P34" s="24" t="e">
        <f>RANK(State11[[#This Row],[Total NonNurse MPRD]], State11[Total NonNurse MPRD])</f>
        <v>#REF!</v>
      </c>
      <c r="R34"/>
      <c r="S34" s="36"/>
      <c r="T34" s="23"/>
    </row>
    <row r="35" spans="12:20" ht="15" customHeight="1" x14ac:dyDescent="0.2">
      <c r="L35" t="s">
        <v>88</v>
      </c>
      <c r="M35" s="22" t="e">
        <f>(SUMIFS(#REF!,#REF!, State11[[#This Row],[State]],#REF!, "&lt;&gt;1"))</f>
        <v>#REF!</v>
      </c>
      <c r="N35" s="22" t="e">
        <f>COUNTIFS(#REF!, State11[[#This Row],[State]],#REF!, "&lt;&gt;1")</f>
        <v>#REF!</v>
      </c>
      <c r="O35" s="23" t="e">
        <f>SUMIFS(#REF!,#REF!, State11[[#This Row],[State]]) / (SUMIFS(#REF!,#REF!, State11[[#This Row],[State]],#REF!, "&lt;&gt;1"))*60</f>
        <v>#REF!</v>
      </c>
      <c r="P35" s="24" t="e">
        <f>RANK(State11[[#This Row],[Total NonNurse MPRD]], State11[Total NonNurse MPRD])</f>
        <v>#REF!</v>
      </c>
      <c r="R35"/>
      <c r="S35" s="22"/>
    </row>
    <row r="36" spans="12:20" ht="15" customHeight="1" x14ac:dyDescent="0.2">
      <c r="L36" t="s">
        <v>89</v>
      </c>
      <c r="M36" s="22" t="e">
        <f>(SUMIFS(#REF!,#REF!, State11[[#This Row],[State]],#REF!, "&lt;&gt;1"))</f>
        <v>#REF!</v>
      </c>
      <c r="N36" s="22" t="e">
        <f>COUNTIFS(#REF!, State11[[#This Row],[State]],#REF!, "&lt;&gt;1")</f>
        <v>#REF!</v>
      </c>
      <c r="O36" s="23" t="e">
        <f>SUMIFS(#REF!,#REF!, State11[[#This Row],[State]]) / (SUMIFS(#REF!,#REF!, State11[[#This Row],[State]],#REF!, "&lt;&gt;1"))*60</f>
        <v>#REF!</v>
      </c>
      <c r="P36" s="24" t="e">
        <f>RANK(State11[[#This Row],[Total NonNurse MPRD]], State11[Total NonNurse MPRD])</f>
        <v>#REF!</v>
      </c>
      <c r="R36"/>
    </row>
    <row r="37" spans="12:20" ht="15" customHeight="1" x14ac:dyDescent="0.2">
      <c r="L37" t="s">
        <v>90</v>
      </c>
      <c r="M37" s="22" t="e">
        <f>(SUMIFS(#REF!,#REF!, State11[[#This Row],[State]],#REF!, "&lt;&gt;1"))</f>
        <v>#REF!</v>
      </c>
      <c r="N37" s="22" t="e">
        <f>COUNTIFS(#REF!, State11[[#This Row],[State]],#REF!, "&lt;&gt;1")</f>
        <v>#REF!</v>
      </c>
      <c r="O37" s="23" t="e">
        <f>SUMIFS(#REF!,#REF!, State11[[#This Row],[State]]) / (SUMIFS(#REF!,#REF!, State11[[#This Row],[State]],#REF!, "&lt;&gt;1"))*60</f>
        <v>#REF!</v>
      </c>
      <c r="P37" s="24" t="e">
        <f>RANK(State11[[#This Row],[Total NonNurse MPRD]], State11[Total NonNurse MPRD])</f>
        <v>#REF!</v>
      </c>
      <c r="R37"/>
    </row>
    <row r="38" spans="12:20" ht="15" customHeight="1" x14ac:dyDescent="0.2">
      <c r="L38" t="s">
        <v>232</v>
      </c>
      <c r="M38" s="22" t="e">
        <f>(SUMIFS(#REF!,#REF!, State11[[#This Row],[State]],#REF!, "&lt;&gt;1"))</f>
        <v>#REF!</v>
      </c>
      <c r="N38" s="22" t="e">
        <f>COUNTIFS(#REF!, State11[[#This Row],[State]],#REF!, "&lt;&gt;1")</f>
        <v>#REF!</v>
      </c>
      <c r="O38" s="23" t="e">
        <f>SUMIFS(#REF!,#REF!, State11[[#This Row],[State]]) / (SUMIFS(#REF!,#REF!, State11[[#This Row],[State]],#REF!, "&lt;&gt;1"))*60</f>
        <v>#REF!</v>
      </c>
      <c r="P38" s="24" t="e">
        <f>RANK(State11[[#This Row],[Total NonNurse MPRD]], State11[Total NonNurse MPRD])</f>
        <v>#REF!</v>
      </c>
      <c r="R38"/>
    </row>
    <row r="39" spans="12:20" ht="15" customHeight="1" x14ac:dyDescent="0.2">
      <c r="L39" t="s">
        <v>233</v>
      </c>
      <c r="M39" s="22" t="e">
        <f>(SUMIFS(#REF!,#REF!, State11[[#This Row],[State]],#REF!, "&lt;&gt;1"))</f>
        <v>#REF!</v>
      </c>
      <c r="N39" s="22" t="e">
        <f>COUNTIFS(#REF!, State11[[#This Row],[State]],#REF!, "&lt;&gt;1")</f>
        <v>#REF!</v>
      </c>
      <c r="O39" s="23" t="e">
        <f>SUMIFS(#REF!,#REF!, State11[[#This Row],[State]]) / (SUMIFS(#REF!,#REF!, State11[[#This Row],[State]],#REF!, "&lt;&gt;1"))*60</f>
        <v>#REF!</v>
      </c>
      <c r="P39" s="24" t="e">
        <f>RANK(State11[[#This Row],[Total NonNurse MPRD]], State11[Total NonNurse MPRD])</f>
        <v>#REF!</v>
      </c>
      <c r="R39"/>
    </row>
    <row r="40" spans="12:20" ht="15" customHeight="1" x14ac:dyDescent="0.2">
      <c r="L40" t="s">
        <v>234</v>
      </c>
      <c r="M40" s="22" t="e">
        <f>(SUMIFS(#REF!,#REF!, State11[[#This Row],[State]],#REF!, "&lt;&gt;1"))</f>
        <v>#REF!</v>
      </c>
      <c r="N40" s="22" t="e">
        <f>COUNTIFS(#REF!, State11[[#This Row],[State]],#REF!, "&lt;&gt;1")</f>
        <v>#REF!</v>
      </c>
      <c r="O40" s="23" t="e">
        <f>SUMIFS(#REF!,#REF!, State11[[#This Row],[State]]) / (SUMIFS(#REF!,#REF!, State11[[#This Row],[State]],#REF!, "&lt;&gt;1"))*60</f>
        <v>#REF!</v>
      </c>
      <c r="P40" s="24" t="e">
        <f>RANK(State11[[#This Row],[Total NonNurse MPRD]], State11[Total NonNurse MPRD])</f>
        <v>#REF!</v>
      </c>
      <c r="R40"/>
    </row>
    <row r="41" spans="12:20" ht="15" customHeight="1" x14ac:dyDescent="0.2">
      <c r="L41" t="s">
        <v>235</v>
      </c>
      <c r="M41" s="22" t="e">
        <f>(SUMIFS(#REF!,#REF!, State11[[#This Row],[State]],#REF!, "&lt;&gt;1"))</f>
        <v>#REF!</v>
      </c>
      <c r="N41" s="22" t="e">
        <f>COUNTIFS(#REF!, State11[[#This Row],[State]],#REF!, "&lt;&gt;1")</f>
        <v>#REF!</v>
      </c>
      <c r="O41" s="23" t="e">
        <f>SUMIFS(#REF!,#REF!, State11[[#This Row],[State]]) / (SUMIFS(#REF!,#REF!, State11[[#This Row],[State]],#REF!, "&lt;&gt;1"))*60</f>
        <v>#REF!</v>
      </c>
      <c r="P41" s="24" t="e">
        <f>RANK(State11[[#This Row],[Total NonNurse MPRD]], State11[Total NonNurse MPRD])</f>
        <v>#REF!</v>
      </c>
      <c r="R41"/>
    </row>
    <row r="42" spans="12:20" ht="15" customHeight="1" x14ac:dyDescent="0.2">
      <c r="L42" t="s">
        <v>236</v>
      </c>
      <c r="M42" s="22" t="e">
        <f>(SUMIFS(#REF!,#REF!, State11[[#This Row],[State]],#REF!, "&lt;&gt;1"))</f>
        <v>#REF!</v>
      </c>
      <c r="N42" s="22" t="e">
        <f>COUNTIFS(#REF!, State11[[#This Row],[State]],#REF!, "&lt;&gt;1")</f>
        <v>#REF!</v>
      </c>
      <c r="O42" s="23" t="e">
        <f>SUMIFS(#REF!,#REF!, State11[[#This Row],[State]]) / (SUMIFS(#REF!,#REF!, State11[[#This Row],[State]],#REF!, "&lt;&gt;1"))*60</f>
        <v>#REF!</v>
      </c>
      <c r="P42" s="24" t="e">
        <f>RANK(State11[[#This Row],[Total NonNurse MPRD]], State11[Total NonNurse MPRD])</f>
        <v>#REF!</v>
      </c>
      <c r="R42"/>
    </row>
    <row r="43" spans="12:20" ht="15" customHeight="1" x14ac:dyDescent="0.2">
      <c r="L43" t="s">
        <v>237</v>
      </c>
      <c r="M43" s="22" t="e">
        <f>(SUMIFS(#REF!,#REF!, State11[[#This Row],[State]],#REF!, "&lt;&gt;1"))</f>
        <v>#REF!</v>
      </c>
      <c r="N43" s="22" t="e">
        <f>COUNTIFS(#REF!, State11[[#This Row],[State]],#REF!, "&lt;&gt;1")</f>
        <v>#REF!</v>
      </c>
      <c r="O43" s="23" t="e">
        <f>SUMIFS(#REF!,#REF!, State11[[#This Row],[State]]) / (SUMIFS(#REF!,#REF!, State11[[#This Row],[State]],#REF!, "&lt;&gt;1"))*60</f>
        <v>#REF!</v>
      </c>
      <c r="P43" s="24" t="e">
        <f>RANK(State11[[#This Row],[Total NonNurse MPRD]], State11[Total NonNurse MPRD])</f>
        <v>#REF!</v>
      </c>
      <c r="R43" s="23"/>
    </row>
    <row r="44" spans="12:20" ht="15" customHeight="1" x14ac:dyDescent="0.2">
      <c r="L44" t="s">
        <v>238</v>
      </c>
      <c r="M44" s="22" t="e">
        <f>(SUMIFS(#REF!,#REF!, State11[[#This Row],[State]],#REF!, "&lt;&gt;1"))</f>
        <v>#REF!</v>
      </c>
      <c r="N44" s="22" t="e">
        <f>COUNTIFS(#REF!, State11[[#This Row],[State]],#REF!, "&lt;&gt;1")</f>
        <v>#REF!</v>
      </c>
      <c r="O44" s="23" t="e">
        <f>SUMIFS(#REF!,#REF!, State11[[#This Row],[State]]) / (SUMIFS(#REF!,#REF!, State11[[#This Row],[State]],#REF!, "&lt;&gt;1"))*60</f>
        <v>#REF!</v>
      </c>
      <c r="P44" s="24" t="e">
        <f>RANK(State11[[#This Row],[Total NonNurse MPRD]], State11[Total NonNurse MPRD])</f>
        <v>#REF!</v>
      </c>
      <c r="R44"/>
    </row>
    <row r="45" spans="12:20" ht="15" customHeight="1" x14ac:dyDescent="0.2">
      <c r="L45" t="s">
        <v>239</v>
      </c>
      <c r="M45" s="22" t="e">
        <f>(SUMIFS(#REF!,#REF!, State11[[#This Row],[State]],#REF!, "&lt;&gt;1"))</f>
        <v>#REF!</v>
      </c>
      <c r="N45" s="22" t="e">
        <f>COUNTIFS(#REF!, State11[[#This Row],[State]],#REF!, "&lt;&gt;1")</f>
        <v>#REF!</v>
      </c>
      <c r="O45" s="23" t="e">
        <f>SUMIFS(#REF!,#REF!, State11[[#This Row],[State]]) / (SUMIFS(#REF!,#REF!, State11[[#This Row],[State]],#REF!, "&lt;&gt;1"))*60</f>
        <v>#REF!</v>
      </c>
      <c r="P45" s="24" t="e">
        <f>RANK(State11[[#This Row],[Total NonNurse MPRD]], State11[Total NonNurse MPRD])</f>
        <v>#REF!</v>
      </c>
      <c r="R45"/>
    </row>
    <row r="46" spans="12:20" ht="15" customHeight="1" x14ac:dyDescent="0.2">
      <c r="L46" t="s">
        <v>240</v>
      </c>
      <c r="M46" s="22" t="e">
        <f>(SUMIFS(#REF!,#REF!, State11[[#This Row],[State]],#REF!, "&lt;&gt;1"))</f>
        <v>#REF!</v>
      </c>
      <c r="N46" s="22" t="e">
        <f>COUNTIFS(#REF!, State11[[#This Row],[State]],#REF!, "&lt;&gt;1")</f>
        <v>#REF!</v>
      </c>
      <c r="O46" s="23" t="e">
        <f>SUMIFS(#REF!,#REF!, State11[[#This Row],[State]]) / (SUMIFS(#REF!,#REF!, State11[[#This Row],[State]],#REF!, "&lt;&gt;1"))*60</f>
        <v>#REF!</v>
      </c>
      <c r="P46" s="24" t="e">
        <f>RANK(State11[[#This Row],[Total NonNurse MPRD]], State11[Total NonNurse MPRD])</f>
        <v>#REF!</v>
      </c>
      <c r="R46"/>
    </row>
    <row r="47" spans="12:20" ht="15" customHeight="1" x14ac:dyDescent="0.2">
      <c r="L47" t="s">
        <v>241</v>
      </c>
      <c r="M47" s="22" t="e">
        <f>(SUMIFS(#REF!,#REF!, State11[[#This Row],[State]],#REF!, "&lt;&gt;1"))</f>
        <v>#REF!</v>
      </c>
      <c r="N47" s="22" t="e">
        <f>COUNTIFS(#REF!, State11[[#This Row],[State]],#REF!, "&lt;&gt;1")</f>
        <v>#REF!</v>
      </c>
      <c r="O47" s="23" t="e">
        <f>SUMIFS(#REF!,#REF!, State11[[#This Row],[State]]) / (SUMIFS(#REF!,#REF!, State11[[#This Row],[State]],#REF!, "&lt;&gt;1"))*60</f>
        <v>#REF!</v>
      </c>
      <c r="P47" s="24" t="e">
        <f>RANK(State11[[#This Row],[Total NonNurse MPRD]], State11[Total NonNurse MPRD])</f>
        <v>#REF!</v>
      </c>
      <c r="R47"/>
    </row>
    <row r="48" spans="12:20" ht="15" customHeight="1" x14ac:dyDescent="0.2">
      <c r="L48" t="s">
        <v>242</v>
      </c>
      <c r="M48" s="22" t="e">
        <f>(SUMIFS(#REF!,#REF!, State11[[#This Row],[State]],#REF!, "&lt;&gt;1"))</f>
        <v>#REF!</v>
      </c>
      <c r="N48" s="22" t="e">
        <f>COUNTIFS(#REF!, State11[[#This Row],[State]],#REF!, "&lt;&gt;1")</f>
        <v>#REF!</v>
      </c>
      <c r="O48" s="23" t="e">
        <f>SUMIFS(#REF!,#REF!, State11[[#This Row],[State]]) / (SUMIFS(#REF!,#REF!, State11[[#This Row],[State]],#REF!, "&lt;&gt;1"))*60</f>
        <v>#REF!</v>
      </c>
      <c r="P48" s="24" t="e">
        <f>RANK(State11[[#This Row],[Total NonNurse MPRD]], State11[Total NonNurse MPRD])</f>
        <v>#REF!</v>
      </c>
      <c r="R48"/>
    </row>
    <row r="49" spans="12:18" ht="15" customHeight="1" x14ac:dyDescent="0.2">
      <c r="L49" t="s">
        <v>243</v>
      </c>
      <c r="M49" s="22" t="e">
        <f>(SUMIFS(#REF!,#REF!, State11[[#This Row],[State]],#REF!, "&lt;&gt;1"))</f>
        <v>#REF!</v>
      </c>
      <c r="N49" s="22" t="e">
        <f>COUNTIFS(#REF!, State11[[#This Row],[State]],#REF!, "&lt;&gt;1")</f>
        <v>#REF!</v>
      </c>
      <c r="O49" s="23" t="e">
        <f>SUMIFS(#REF!,#REF!, State11[[#This Row],[State]]) / (SUMIFS(#REF!,#REF!, State11[[#This Row],[State]],#REF!, "&lt;&gt;1"))*60</f>
        <v>#REF!</v>
      </c>
      <c r="P49" s="24" t="e">
        <f>RANK(State11[[#This Row],[Total NonNurse MPRD]], State11[Total NonNurse MPRD])</f>
        <v>#REF!</v>
      </c>
      <c r="R49"/>
    </row>
    <row r="50" spans="12:18" ht="15" customHeight="1" x14ac:dyDescent="0.2">
      <c r="L50" t="s">
        <v>244</v>
      </c>
      <c r="M50" s="22" t="e">
        <f>(SUMIFS(#REF!,#REF!, State11[[#This Row],[State]],#REF!, "&lt;&gt;1"))</f>
        <v>#REF!</v>
      </c>
      <c r="N50" s="22" t="e">
        <f>COUNTIFS(#REF!, State11[[#This Row],[State]],#REF!, "&lt;&gt;1")</f>
        <v>#REF!</v>
      </c>
      <c r="O50" s="23" t="e">
        <f>SUMIFS(#REF!,#REF!, State11[[#This Row],[State]]) / (SUMIFS(#REF!,#REF!, State11[[#This Row],[State]],#REF!, "&lt;&gt;1"))*60</f>
        <v>#REF!</v>
      </c>
      <c r="P50" s="24" t="e">
        <f>RANK(State11[[#This Row],[Total NonNurse MPRD]], State11[Total NonNurse MPRD])</f>
        <v>#REF!</v>
      </c>
      <c r="R50"/>
    </row>
    <row r="51" spans="12:18" ht="15" customHeight="1" x14ac:dyDescent="0.2">
      <c r="L51" t="s">
        <v>245</v>
      </c>
      <c r="M51" s="22" t="e">
        <f>(SUMIFS(#REF!,#REF!, State11[[#This Row],[State]],#REF!, "&lt;&gt;1"))</f>
        <v>#REF!</v>
      </c>
      <c r="N51" s="22" t="e">
        <f>COUNTIFS(#REF!, State11[[#This Row],[State]],#REF!, "&lt;&gt;1")</f>
        <v>#REF!</v>
      </c>
      <c r="O51" s="23" t="e">
        <f>SUMIFS(#REF!,#REF!, State11[[#This Row],[State]]) / (SUMIFS(#REF!,#REF!, State11[[#This Row],[State]],#REF!, "&lt;&gt;1"))*60</f>
        <v>#REF!</v>
      </c>
      <c r="P51" s="24" t="e">
        <f>RANK(State11[[#This Row],[Total NonNurse MPRD]], State11[Total NonNurse MPRD])</f>
        <v>#REF!</v>
      </c>
      <c r="R51"/>
    </row>
    <row r="52" spans="12:18" ht="15" customHeight="1" x14ac:dyDescent="0.2">
      <c r="L52" t="s">
        <v>246</v>
      </c>
      <c r="M52" s="22" t="e">
        <f>(SUMIFS(#REF!,#REF!, State11[[#This Row],[State]],#REF!, "&lt;&gt;1"))</f>
        <v>#REF!</v>
      </c>
      <c r="N52" s="22" t="e">
        <f>COUNTIFS(#REF!, State11[[#This Row],[State]],#REF!, "&lt;&gt;1")</f>
        <v>#REF!</v>
      </c>
      <c r="O52" s="23" t="e">
        <f>SUMIFS(#REF!,#REF!, State11[[#This Row],[State]]) / (SUMIFS(#REF!,#REF!, State11[[#This Row],[State]],#REF!, "&lt;&gt;1"))*60</f>
        <v>#REF!</v>
      </c>
      <c r="P52" s="24" t="e">
        <f>RANK(State11[[#This Row],[Total NonNurse MPRD]], State11[Total NonNurse MPRD])</f>
        <v>#REF!</v>
      </c>
      <c r="R52"/>
    </row>
    <row r="53" spans="12:18" ht="15" customHeight="1" x14ac:dyDescent="0.2">
      <c r="L53" t="s">
        <v>247</v>
      </c>
      <c r="M53" s="22" t="e">
        <f>(SUMIFS(#REF!,#REF!, State11[[#This Row],[State]],#REF!, "&lt;&gt;1"))</f>
        <v>#REF!</v>
      </c>
      <c r="N53" s="22" t="e">
        <f>COUNTIFS(#REF!, State11[[#This Row],[State]],#REF!, "&lt;&gt;1")</f>
        <v>#REF!</v>
      </c>
      <c r="O53" s="23" t="e">
        <f>SUMIFS(#REF!,#REF!, State11[[#This Row],[State]]) / (SUMIFS(#REF!,#REF!, State11[[#This Row],[State]],#REF!, "&lt;&gt;1"))*60</f>
        <v>#REF!</v>
      </c>
      <c r="P53" s="24" t="e">
        <f>RANK(State11[[#This Row],[Total NonNurse MPRD]], State11[Total NonNurse MPRD])</f>
        <v>#REF!</v>
      </c>
      <c r="R53"/>
    </row>
    <row r="54" spans="12:18" ht="15" customHeight="1" x14ac:dyDescent="0.2">
      <c r="L54" t="s">
        <v>248</v>
      </c>
      <c r="M54" s="22" t="e">
        <f>(SUMIFS(#REF!,#REF!, State11[[#This Row],[State]],#REF!, "&lt;&gt;1"))</f>
        <v>#REF!</v>
      </c>
      <c r="N54" s="22" t="e">
        <f>COUNTIFS(#REF!, State11[[#This Row],[State]],#REF!, "&lt;&gt;1")</f>
        <v>#REF!</v>
      </c>
      <c r="O54" s="23" t="e">
        <f>SUMIFS(#REF!,#REF!, State11[[#This Row],[State]]) / (SUMIFS(#REF!,#REF!, State11[[#This Row],[State]],#REF!, "&lt;&gt;1"))*60</f>
        <v>#REF!</v>
      </c>
      <c r="P54" s="24" t="e">
        <f>RANK(State11[[#This Row],[Total NonNurse MPRD]], State11[Total NonNurse MPRD])</f>
        <v>#REF!</v>
      </c>
      <c r="R54"/>
    </row>
    <row r="55" spans="12:18" ht="15" customHeight="1" x14ac:dyDescent="0.2">
      <c r="R55"/>
    </row>
    <row r="56" spans="12:18" x14ac:dyDescent="0.2">
      <c r="R56"/>
    </row>
    <row r="57" spans="12:18" x14ac:dyDescent="0.2">
      <c r="R57"/>
    </row>
    <row r="58" spans="12:18" x14ac:dyDescent="0.2">
      <c r="R58"/>
    </row>
    <row r="59" spans="12:18" x14ac:dyDescent="0.2">
      <c r="R59"/>
    </row>
    <row r="60" spans="12:18" x14ac:dyDescent="0.2">
      <c r="R60"/>
    </row>
    <row r="61" spans="12:18" x14ac:dyDescent="0.2">
      <c r="R61"/>
    </row>
    <row r="62" spans="12:18" x14ac:dyDescent="0.2">
      <c r="R62"/>
    </row>
  </sheetData>
  <phoneticPr fontId="14" type="noConversion"/>
  <pageMargins left="0.7" right="0.7" top="0.75" bottom="0.75" header="0.3" footer="0.3"/>
  <pageSetup orientation="portrait" horizontalDpi="300" verticalDpi="300" r:id="rId1"/>
  <ignoredErrors>
    <ignoredError sqref="U4:U30" calculatedColumn="1"/>
  </ignoredErrors>
  <drawing r:id="rId2"/>
  <tableParts count="4">
    <tablePart r:id="rId3"/>
    <tablePart r:id="rId4"/>
    <tablePart r:id="rId5"/>
    <tablePart r:id="rId6"/>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B0EB0C-7820-4A28-AB0A-A83EF08E853A}">
  <dimension ref="B2:N62"/>
  <sheetViews>
    <sheetView tabSelected="1" zoomScale="140" zoomScaleNormal="80" workbookViewId="0">
      <pane ySplit="2" topLeftCell="A3" activePane="bottomLeft" state="frozen"/>
      <selection activeCell="C40" sqref="C40"/>
      <selection pane="bottomLeft" activeCell="G24" sqref="G24"/>
    </sheetView>
  </sheetViews>
  <sheetFormatPr baseColWidth="10" defaultColWidth="8.83203125" defaultRowHeight="16" x14ac:dyDescent="0.2"/>
  <cols>
    <col min="1" max="1" width="3" style="3" customWidth="1"/>
    <col min="2" max="2" width="45.1640625" style="3" customWidth="1"/>
    <col min="3" max="4" width="11.5" style="3" customWidth="1"/>
    <col min="5" max="5" width="18.1640625" style="3" customWidth="1"/>
    <col min="6" max="6" width="5.5" style="3" customWidth="1"/>
    <col min="7" max="7" width="44.5" style="3" customWidth="1"/>
    <col min="8" max="8" width="12.5" style="3" customWidth="1"/>
    <col min="9" max="9" width="14.5" style="3" bestFit="1" customWidth="1"/>
    <col min="10" max="10" width="19.83203125" style="3" customWidth="1"/>
    <col min="11" max="11" width="37.1640625" style="3" customWidth="1"/>
    <col min="12" max="12" width="11.5" style="3" customWidth="1"/>
    <col min="13" max="17" width="8.83203125" style="3"/>
    <col min="18" max="18" width="22.83203125" style="3" customWidth="1"/>
    <col min="19" max="19" width="16.5" style="3" customWidth="1"/>
    <col min="20" max="20" width="13.5" style="3" customWidth="1"/>
    <col min="21" max="16384" width="8.83203125" style="3"/>
  </cols>
  <sheetData>
    <row r="2" spans="2:14" ht="85.5" customHeight="1" thickBot="1" x14ac:dyDescent="0.25">
      <c r="B2" s="14" t="s">
        <v>337</v>
      </c>
      <c r="C2" s="14" t="s">
        <v>338</v>
      </c>
      <c r="D2" s="14" t="s">
        <v>251</v>
      </c>
      <c r="E2" s="15"/>
      <c r="G2" s="3" t="s">
        <v>257</v>
      </c>
      <c r="H2" s="3" t="s">
        <v>258</v>
      </c>
      <c r="I2" s="18" t="s">
        <v>259</v>
      </c>
      <c r="J2" s="18" t="s">
        <v>260</v>
      </c>
    </row>
    <row r="3" spans="2:14" ht="15" customHeight="1" x14ac:dyDescent="0.2">
      <c r="B3" s="19" t="s">
        <v>263</v>
      </c>
      <c r="C3" s="20">
        <f>SUM(NonNurse[Hrs_Admin])/SUMIFS(NonNurse[MDScensus], NonNurse[Hrs_Admin_fn], "&lt;&gt;1")*60</f>
        <v>2.369928938122456</v>
      </c>
      <c r="D3" s="45">
        <f>MEDIAN(NonNurse[MPRD: Admin])</f>
        <v>2.48052470857722</v>
      </c>
      <c r="E3" s="21"/>
      <c r="G3" s="22" t="s">
        <v>262</v>
      </c>
      <c r="H3" s="22">
        <f>SUM(NonNurse[Hrs_Admin])</f>
        <v>487.56565217391233</v>
      </c>
      <c r="I3" s="23">
        <f>Category122114[[#This Row],[US Total Hours]]/SUMIFS(NonNurse[MDScensus], NonNurse[Hrs_Admin_fn], "&lt;&gt;1")*60</f>
        <v>2.369928938122456</v>
      </c>
      <c r="J3" s="22">
        <f>COUNTIF(NonNurse[Hrs_Admin], 0)</f>
        <v>3</v>
      </c>
    </row>
    <row r="4" spans="2:14" ht="15" customHeight="1" x14ac:dyDescent="0.2">
      <c r="B4" s="19" t="s">
        <v>299</v>
      </c>
      <c r="C4" s="20">
        <f>SUM(NonNurse[Hrs_MedDir])/SUM(NonNurse[MDScensus])*60</f>
        <v>0.48642040101089279</v>
      </c>
      <c r="D4" s="20">
        <f>MEDIAN(NonNurse[MPRD: MedDir])</f>
        <v>0.15826207752581151</v>
      </c>
      <c r="E4" s="21"/>
      <c r="G4" s="22" t="s">
        <v>264</v>
      </c>
      <c r="H4" s="22">
        <f>SUM(NonNurse[Hrs_MedDir])</f>
        <v>100.07130434782582</v>
      </c>
      <c r="I4" s="23">
        <f>Category122114[[#This Row],[US Total Hours]]/SUM(NonNurse[MDScensus])*60</f>
        <v>0.48642040101089279</v>
      </c>
      <c r="J4" s="43">
        <f>COUNTIF(NonNurse[Hrs_MedDir], 0)</f>
        <v>41</v>
      </c>
      <c r="L4" s="22"/>
    </row>
    <row r="5" spans="2:14" ht="15" customHeight="1" x14ac:dyDescent="0.2">
      <c r="B5" s="25" t="s">
        <v>298</v>
      </c>
      <c r="C5" s="20">
        <f>(SUM(NonNurse[Hrs_QualSocWrk], NonNurse[Hrs_OthSocWrk]))/(SUM(NonNurse[MDScensus]))*60</f>
        <v>4.9744862323115893</v>
      </c>
      <c r="D5" s="29">
        <f>MEDIAN(NonNurse[MPRD: Total Social Work])</f>
        <v>4.9233786862882845</v>
      </c>
      <c r="E5" s="27"/>
      <c r="G5" s="22" t="s">
        <v>266</v>
      </c>
      <c r="H5" s="22">
        <f>SUM(NonNurse[Hrs_Pharmacist])</f>
        <v>55.368260869565127</v>
      </c>
      <c r="I5" s="23">
        <f>Category122114[[#This Row],[US Total Hours]]/SUM(NonNurse[MDScensus])*60</f>
        <v>0.26913061472486677</v>
      </c>
      <c r="J5" s="43">
        <f>COUNTIF(NonNurse[Hrs_Pharmacist], 0)</f>
        <v>61</v>
      </c>
      <c r="M5" s="28"/>
      <c r="N5" s="28"/>
    </row>
    <row r="6" spans="2:14" ht="15" customHeight="1" x14ac:dyDescent="0.2">
      <c r="B6" s="26" t="s">
        <v>267</v>
      </c>
      <c r="C6" s="40">
        <f>(SUM(NonNurse[Hrs_OT], NonNurse[Hrs_OTasst], NonNurse[Hrs_OTaide]))/(SUM(NonNurse[MDScensus]))*60</f>
        <v>10.852349620915273</v>
      </c>
      <c r="D6" s="20">
        <f>MEDIAN(NonNurse[MPRD: OT (incl. Assistant &amp; Aide)])</f>
        <v>11.19717892909885</v>
      </c>
      <c r="E6"/>
      <c r="G6" s="22" t="s">
        <v>268</v>
      </c>
      <c r="H6" s="22">
        <f>SUM(NonNurse[Hrs_Dietician])</f>
        <v>629.79532608695524</v>
      </c>
      <c r="I6" s="23">
        <f>Category122114[[#This Row],[US Total Hours]]/SUM(NonNurse[MDScensus])*60</f>
        <v>3.0612701319972211</v>
      </c>
      <c r="J6" s="43">
        <f>COUNTIF(NonNurse[Hrs_Dietician], 0)</f>
        <v>8</v>
      </c>
      <c r="M6" s="28"/>
      <c r="N6" s="28"/>
    </row>
    <row r="7" spans="2:14" ht="15" customHeight="1" x14ac:dyDescent="0.2">
      <c r="B7" s="25" t="s">
        <v>269</v>
      </c>
      <c r="C7" s="29">
        <f>(SUM(NonNurse[Hrs_PT], NonNurse[Hrs_PTasst], NonNurse[Hrs_PTaide]))/(SUM(NonNurse[MDScensus]))*60</f>
        <v>11.959911062582012</v>
      </c>
      <c r="D7" s="42">
        <f>MEDIAN(NonNurse[MPRD: PT (incl. Assistant &amp; Aide)])</f>
        <v>11.619909536893651</v>
      </c>
      <c r="E7"/>
      <c r="G7" s="22" t="s">
        <v>270</v>
      </c>
      <c r="H7" s="22">
        <f>SUM(NonNurse[Hrs_PA])</f>
        <v>3.8043478260869498E-2</v>
      </c>
      <c r="I7" s="23">
        <f>Category122114[[#This Row],[US Total Hours]]/SUM(NonNurse[MDScensus])*60</f>
        <v>1.8491938395428115E-4</v>
      </c>
      <c r="J7" s="43">
        <f>COUNTIF(NonNurse[Hrs_PA], 0)</f>
        <v>91</v>
      </c>
      <c r="K7" s="28"/>
      <c r="L7" s="28"/>
      <c r="M7" s="28"/>
      <c r="N7" s="28"/>
    </row>
    <row r="8" spans="2:14" ht="15" customHeight="1" x14ac:dyDescent="0.2">
      <c r="B8" s="59" t="s">
        <v>271</v>
      </c>
      <c r="C8" s="40">
        <f>(SUM(NonNurse[Hrs_QualActvProf], NonNurse[Hrs_OthActv]))/(SUM(NonNurse[MDScensus]))*60</f>
        <v>10.856502381937796</v>
      </c>
      <c r="D8" s="46">
        <f>MEDIAN(NonNurse[MPRD: Combined Activities])</f>
        <v>9.9032955889255661</v>
      </c>
      <c r="G8" s="22" t="s">
        <v>272</v>
      </c>
      <c r="H8" s="22">
        <f>SUM(NonNurse[Hrs_NP])</f>
        <v>117.15869565217369</v>
      </c>
      <c r="I8" s="23">
        <f>Category122114[[#This Row],[US Total Hours]]/SUM(NonNurse[MDScensus])*60</f>
        <v>0.56947773482560404</v>
      </c>
      <c r="J8" s="43">
        <f>COUNTIF(NonNurse[Hrs_NP], 0)</f>
        <v>77</v>
      </c>
      <c r="K8" s="28"/>
      <c r="L8" s="28"/>
      <c r="M8" s="28"/>
      <c r="N8" s="28"/>
    </row>
    <row r="9" spans="2:14" ht="15" customHeight="1" x14ac:dyDescent="0.2">
      <c r="B9" s="53" t="s">
        <v>273</v>
      </c>
      <c r="C9" s="47"/>
      <c r="D9" s="48"/>
      <c r="G9" s="22" t="s">
        <v>274</v>
      </c>
      <c r="H9" s="22">
        <f>SUM(NonNurse[Hrs_SpcLangPath])</f>
        <v>521.69456521739085</v>
      </c>
      <c r="I9" s="23">
        <f>Category122114[[#This Row],[US Total Hours]]/SUM(NonNurse[MDScensus])*60</f>
        <v>2.5358206458089398</v>
      </c>
      <c r="J9" s="43">
        <f>COUNTIF(NonNurse[Hrs_SpcLangPath], 0)</f>
        <v>5</v>
      </c>
      <c r="K9" s="28"/>
      <c r="L9" s="28"/>
      <c r="M9" s="28"/>
      <c r="N9" s="28"/>
    </row>
    <row r="10" spans="2:14" ht="15" customHeight="1" x14ac:dyDescent="0.2">
      <c r="B10" s="49" t="s">
        <v>275</v>
      </c>
      <c r="C10" s="33">
        <f>COUNTA(NonNurse[PROVNAME])</f>
        <v>92</v>
      </c>
      <c r="D10" s="33"/>
      <c r="G10" s="54" t="s">
        <v>265</v>
      </c>
      <c r="H10" s="55">
        <f>SUM(NonNurse[Hrs_QualSocWrk],NonNurse[Hrs_OthSocWrk])</f>
        <v>1023.4014130434767</v>
      </c>
      <c r="I10" s="56">
        <f>Category122114[[#This Row],[US Total Hours]]/SUM(NonNurse[MDScensus])*60</f>
        <v>4.9744862323115893</v>
      </c>
      <c r="J10" s="57">
        <f>COUNTIF(NonNurse[MPRD: Total Social Work], 0)</f>
        <v>2</v>
      </c>
      <c r="K10" s="28"/>
      <c r="L10" s="28"/>
      <c r="M10" s="28"/>
      <c r="N10" s="28"/>
    </row>
    <row r="11" spans="2:14" ht="15" customHeight="1" x14ac:dyDescent="0.2">
      <c r="B11" s="49" t="s">
        <v>252</v>
      </c>
      <c r="C11" s="33">
        <f>SUM(NonNurse[MDScensus])</f>
        <v>12343.804347826048</v>
      </c>
      <c r="D11" s="33"/>
      <c r="G11" s="22" t="s">
        <v>276</v>
      </c>
      <c r="H11" s="22">
        <f>SUM(NonNurse[Hrs_QualSocWrk])</f>
        <v>734.93869565217278</v>
      </c>
      <c r="I11" s="23">
        <f>Category122114[[#This Row],[US Total Hours]]/SUM(NonNurse[MDScensus])*60</f>
        <v>3.5723445136179977</v>
      </c>
      <c r="J11" s="43">
        <f>COUNTIF(NonNurse[Hrs_QualSocWrk], 0)</f>
        <v>14</v>
      </c>
      <c r="K11" s="28"/>
      <c r="L11" s="28"/>
      <c r="M11" s="28"/>
      <c r="N11" s="28"/>
    </row>
    <row r="12" spans="2:14" ht="15" customHeight="1" x14ac:dyDescent="0.2">
      <c r="B12" s="61" t="s">
        <v>277</v>
      </c>
      <c r="C12" s="21">
        <f>AVERAGE(NonNurse[MDScensus])</f>
        <v>134.17178638941357</v>
      </c>
      <c r="D12" s="21"/>
      <c r="G12" s="22" t="s">
        <v>278</v>
      </c>
      <c r="H12" s="22">
        <f>SUM(NonNurse[Hrs_OthSocWrk])</f>
        <v>288.46271739130367</v>
      </c>
      <c r="I12" s="23">
        <f>Category122114[[#This Row],[US Total Hours]]/SUM(NonNurse[MDScensus])*60</f>
        <v>1.4021417186935898</v>
      </c>
      <c r="J12" s="43">
        <f>COUNTIF(NonNurse[Hrs_OthSocWrk], 0)</f>
        <v>56</v>
      </c>
      <c r="K12" s="28"/>
      <c r="L12" s="28"/>
      <c r="M12" s="28"/>
      <c r="N12" s="28"/>
    </row>
    <row r="13" spans="2:14" ht="15" customHeight="1" x14ac:dyDescent="0.2">
      <c r="B13" s="60" t="s">
        <v>279</v>
      </c>
      <c r="C13" s="52">
        <f>COUNTIF(NonNurse[Hrs_Admin_fn], 1)</f>
        <v>0</v>
      </c>
      <c r="G13" s="54" t="s">
        <v>280</v>
      </c>
      <c r="H13" s="55">
        <f>SUM(NonNurse[Hrs_QualActvProf], NonNurse[Hrs_OthActv])</f>
        <v>2233.5090217391266</v>
      </c>
      <c r="I13" s="56">
        <f>Category122114[[#This Row],[US Total Hours]]/SUM(NonNurse[MDScensus])*60</f>
        <v>10.856502381937796</v>
      </c>
      <c r="J13" s="55">
        <f>COUNTIF(NonNurse[MPRD: Combined Activities], 0)</f>
        <v>3</v>
      </c>
      <c r="K13" s="28"/>
      <c r="L13" s="28"/>
      <c r="M13" s="28"/>
      <c r="N13" s="28"/>
    </row>
    <row r="14" spans="2:14" ht="15" customHeight="1" x14ac:dyDescent="0.2">
      <c r="G14" s="22" t="s">
        <v>281</v>
      </c>
      <c r="H14" s="22">
        <f>SUM(NonNurse[Hrs_QualActvProf])</f>
        <v>561.49086956521683</v>
      </c>
      <c r="I14" s="23">
        <f>Category122114[[#This Row],[US Total Hours]]/SUM(NonNurse[MDScensus])*60</f>
        <v>2.7292600582936402</v>
      </c>
      <c r="J14" s="22">
        <f>COUNTIF(NonNurse[Hrs_QualActvProf], 0)</f>
        <v>31</v>
      </c>
    </row>
    <row r="15" spans="2:14" ht="15" customHeight="1" x14ac:dyDescent="0.2">
      <c r="G15" s="22" t="s">
        <v>282</v>
      </c>
      <c r="H15" s="31">
        <f>SUM(NonNurse[Hrs_OthActv])</f>
        <v>1672.0181521739107</v>
      </c>
      <c r="I15" s="23">
        <f>Category122114[[#This Row],[US Total Hours]]/SUM(NonNurse[MDScensus])*60</f>
        <v>8.1272423236441593</v>
      </c>
      <c r="J15" s="22">
        <f>COUNTIF(NonNurse[Hrs_OthActv], 0)</f>
        <v>12</v>
      </c>
    </row>
    <row r="16" spans="2:14" ht="15" customHeight="1" x14ac:dyDescent="0.2">
      <c r="G16" s="54" t="s">
        <v>283</v>
      </c>
      <c r="H16" s="55">
        <f>SUM(NonNurse[Hrs_OT], NonNurse[Hrs_OTasst], NonNurse[Hrs_OTaide])</f>
        <v>2232.6546739130386</v>
      </c>
      <c r="I16" s="56">
        <f>Category122114[[#This Row],[US Total Hours]]/SUM(NonNurse[MDScensus])*60</f>
        <v>10.852349620915273</v>
      </c>
      <c r="J16" s="55">
        <f>COUNTIF(NonNurse[MPRD: OT (incl. Assistant &amp; Aide)], 0)</f>
        <v>1</v>
      </c>
    </row>
    <row r="17" spans="7:11" ht="15" customHeight="1" x14ac:dyDescent="0.2">
      <c r="G17" s="22" t="s">
        <v>284</v>
      </c>
      <c r="H17" s="22">
        <f>SUM(NonNurse[Hrs_OT])</f>
        <v>1032.2806521739112</v>
      </c>
      <c r="I17" s="23">
        <f>Category122114[[#This Row],[US Total Hours]]/SUM(NonNurse[MDScensus])*60</f>
        <v>5.0176458881854193</v>
      </c>
      <c r="J17" s="22">
        <f>COUNTIF(NonNurse[Hrs_OT], 0)</f>
        <v>3</v>
      </c>
    </row>
    <row r="18" spans="7:11" ht="15" customHeight="1" x14ac:dyDescent="0.2">
      <c r="G18" s="22" t="s">
        <v>285</v>
      </c>
      <c r="H18" s="22">
        <f>SUM(NonNurse[Hrs_OTasst])</f>
        <v>1136.7318478260838</v>
      </c>
      <c r="I18" s="23">
        <f>Category122114[[#This Row],[US Total Hours]]/SUM(NonNurse[MDScensus])*60</f>
        <v>5.525355793700415</v>
      </c>
      <c r="J18" s="22">
        <f>COUNTIF(NonNurse[Hrs_OTasst], 0)</f>
        <v>8</v>
      </c>
    </row>
    <row r="19" spans="7:11" ht="15" customHeight="1" x14ac:dyDescent="0.2">
      <c r="G19" s="22" t="s">
        <v>286</v>
      </c>
      <c r="H19" s="32">
        <f>SUM(NonNurse[Hrs_OTaide])</f>
        <v>63.642173913043372</v>
      </c>
      <c r="I19" s="23">
        <f>Category122114[[#This Row],[US Total Hours]]/SUM(NonNurse[MDScensus])*60</f>
        <v>0.30934793902943786</v>
      </c>
      <c r="J19" s="22">
        <f>COUNTIF(NonNurse[Hrs_OTaide], 0)</f>
        <v>83</v>
      </c>
    </row>
    <row r="20" spans="7:11" ht="15" customHeight="1" x14ac:dyDescent="0.2">
      <c r="G20" s="54" t="s">
        <v>287</v>
      </c>
      <c r="H20" s="58">
        <f>SUM(NonNurse[Hrs_PT], NonNurse[Hrs_PTasst], NonNurse[Hrs_PTaide])</f>
        <v>2460.5133695652116</v>
      </c>
      <c r="I20" s="56">
        <f>Category122114[[#This Row],[US Total Hours]]/SUM(NonNurse[MDScensus])*60</f>
        <v>11.959911062582012</v>
      </c>
      <c r="J20" s="55">
        <f>COUNTIF(NonNurse[MPRD: PT (incl. Assistant &amp; Aide)], 0)</f>
        <v>1</v>
      </c>
    </row>
    <row r="21" spans="7:11" ht="15" customHeight="1" x14ac:dyDescent="0.2">
      <c r="G21" s="22" t="s">
        <v>288</v>
      </c>
      <c r="H21" s="22">
        <f>SUM(NonNurse[Hrs_PT])</f>
        <v>1429.7660869565188</v>
      </c>
      <c r="I21" s="23">
        <f>Category122114[[#This Row],[US Total Hours]]/SUM(NonNurse[MDScensus])*60</f>
        <v>6.9497184822521501</v>
      </c>
      <c r="J21" s="22">
        <f>COUNTIF(NonNurse[Hrs_PT], 0)</f>
        <v>1</v>
      </c>
    </row>
    <row r="22" spans="7:11" ht="15" customHeight="1" x14ac:dyDescent="0.2">
      <c r="G22" s="22" t="s">
        <v>289</v>
      </c>
      <c r="H22" s="22">
        <f>SUM(NonNurse[Hrs_PTasst])</f>
        <v>911.97249999999781</v>
      </c>
      <c r="I22" s="23">
        <f>Category122114[[#This Row],[US Total Hours]]/SUM(NonNurse[MDScensus])*60</f>
        <v>4.4328594700738826</v>
      </c>
      <c r="J22" s="22">
        <f>COUNTIF(NonNurse[Hrs_PTasst], 0)</f>
        <v>14</v>
      </c>
    </row>
    <row r="23" spans="7:11" ht="15" customHeight="1" x14ac:dyDescent="0.2">
      <c r="G23" s="22" t="s">
        <v>290</v>
      </c>
      <c r="H23" s="32">
        <f>SUM(NonNurse[Hrs_PTaide])</f>
        <v>118.77478260869525</v>
      </c>
      <c r="I23" s="23">
        <f>Category122114[[#This Row],[US Total Hours]]/SUM(NonNurse[MDScensus])*60</f>
        <v>0.57733311025598111</v>
      </c>
      <c r="J23" s="22">
        <f>COUNTIF(NonNurse[Hrs_PTaide], 0)</f>
        <v>76</v>
      </c>
    </row>
    <row r="24" spans="7:11" ht="15" customHeight="1" x14ac:dyDescent="0.2">
      <c r="G24" s="22" t="s">
        <v>291</v>
      </c>
      <c r="H24" s="32">
        <f>SUM(NonNurse[Hrs_MHSvc])</f>
        <v>15.407608695652153</v>
      </c>
      <c r="I24" s="23">
        <f>Category122114[[#This Row],[US Total Hours]]/SUM(NonNurse[MDScensus])*60</f>
        <v>7.4892350501483892E-2</v>
      </c>
      <c r="J24" s="22">
        <f>COUNTIF(NonNurse[Hrs_MHSvc], 0)</f>
        <v>89</v>
      </c>
    </row>
    <row r="25" spans="7:11" ht="15" customHeight="1" x14ac:dyDescent="0.2">
      <c r="G25" s="22" t="s">
        <v>292</v>
      </c>
      <c r="H25" s="32">
        <f>SUM(NonNurse[Hrs_TherRecSpec])</f>
        <v>366.70934782608646</v>
      </c>
      <c r="I25" s="23">
        <f>Category122114[[#This Row],[US Total Hours]]/SUM(NonNurse[MDScensus])*60</f>
        <v>1.7824780958586897</v>
      </c>
      <c r="J25" s="22">
        <f>COUNTIF(NonNurse[Hrs_TherRecSpec], 0)</f>
        <v>59</v>
      </c>
    </row>
    <row r="26" spans="7:11" ht="15" customHeight="1" x14ac:dyDescent="0.2">
      <c r="G26" s="22" t="s">
        <v>293</v>
      </c>
      <c r="H26" s="32">
        <f>SUM(NonNurse[Hrs_ClinNrsSpec])</f>
        <v>10.032608695652153</v>
      </c>
      <c r="I26" s="23">
        <f>Category122114[[#This Row],[US Total Hours]]/SUM(NonNurse[MDScensus])*60</f>
        <v>4.8765883254228981E-2</v>
      </c>
      <c r="J26" s="22">
        <f>COUNTIF(NonNurse[Hrs_ClinNrsSpec], 0)</f>
        <v>88</v>
      </c>
      <c r="K26" s="22"/>
    </row>
    <row r="27" spans="7:11" ht="15" customHeight="1" x14ac:dyDescent="0.2">
      <c r="G27" s="22" t="s">
        <v>294</v>
      </c>
      <c r="H27" s="32">
        <f>SUM(NonNurse[Hrs_FeedAsst])</f>
        <v>392.93369565217358</v>
      </c>
      <c r="I27" s="23">
        <f>Category122114[[#This Row],[US Total Hours]]/SUM(NonNurse[MDScensus])*60</f>
        <v>1.90994778228825</v>
      </c>
      <c r="J27" s="22">
        <f>COUNTIF(NonNurse[Hrs_FeedAsst], 0)</f>
        <v>85</v>
      </c>
    </row>
    <row r="28" spans="7:11" ht="15" customHeight="1" x14ac:dyDescent="0.2">
      <c r="G28" s="22" t="s">
        <v>295</v>
      </c>
      <c r="H28" s="22">
        <f>SUM(NonNurse[Hrs_RespTher])</f>
        <v>693.3205434782592</v>
      </c>
      <c r="I28" s="23">
        <f>Category122114[[#This Row],[US Total Hours]]/SUM(NonNurse[MDScensus])*60</f>
        <v>3.3700495760062719</v>
      </c>
      <c r="J28" s="22">
        <f>COUNTIF(NonNurse[Hrs_RespTher], 0)</f>
        <v>66</v>
      </c>
    </row>
    <row r="29" spans="7:11" ht="15" customHeight="1" x14ac:dyDescent="0.2">
      <c r="G29" s="22" t="s">
        <v>296</v>
      </c>
      <c r="H29" s="22">
        <f>SUM(NonNurse[Hrs_RespTech])</f>
        <v>13.891304347826065</v>
      </c>
      <c r="I29" s="23">
        <f>Category122114[[#This Row],[US Total Hours]]/SUM(NonNurse[MDScensus])*60</f>
        <v>6.7521992198163239E-2</v>
      </c>
      <c r="J29" s="22">
        <f>COUNTIF(NonNurse[Hrs_RespTech], 0)</f>
        <v>90</v>
      </c>
    </row>
    <row r="30" spans="7:11" ht="15" customHeight="1" x14ac:dyDescent="0.2">
      <c r="G30" s="22" t="s">
        <v>297</v>
      </c>
      <c r="H30" s="22">
        <f>SUM(NonNurse[Hrs_OthMD])</f>
        <v>56.160760869565081</v>
      </c>
      <c r="I30" s="23">
        <f>Category122114[[#This Row],[US Total Hours]]/SUM(NonNurse[MDScensus])*60</f>
        <v>0.27298274966318276</v>
      </c>
      <c r="J30" s="22">
        <f>COUNTIF(NonNurse[Hrs_OthMD], 0)</f>
        <v>72</v>
      </c>
    </row>
    <row r="31" spans="7:11" ht="15" customHeight="1" x14ac:dyDescent="0.2">
      <c r="H31"/>
    </row>
    <row r="32" spans="7:11" ht="15" customHeight="1" x14ac:dyDescent="0.2">
      <c r="H32" s="36"/>
    </row>
    <row r="33" spans="7:9" ht="15" customHeight="1" x14ac:dyDescent="0.2">
      <c r="G33"/>
      <c r="H33" s="36"/>
    </row>
    <row r="34" spans="7:9" ht="15" customHeight="1" x14ac:dyDescent="0.2">
      <c r="G34"/>
      <c r="H34" s="36"/>
      <c r="I34" s="23"/>
    </row>
    <row r="35" spans="7:9" ht="15" customHeight="1" x14ac:dyDescent="0.2">
      <c r="G35"/>
      <c r="H35" s="22"/>
    </row>
    <row r="36" spans="7:9" ht="15" customHeight="1" x14ac:dyDescent="0.2">
      <c r="G36"/>
    </row>
    <row r="37" spans="7:9" ht="15" customHeight="1" x14ac:dyDescent="0.2">
      <c r="G37"/>
    </row>
    <row r="38" spans="7:9" ht="15" customHeight="1" x14ac:dyDescent="0.2">
      <c r="G38"/>
    </row>
    <row r="39" spans="7:9" ht="15" customHeight="1" x14ac:dyDescent="0.2">
      <c r="G39"/>
    </row>
    <row r="40" spans="7:9" ht="15" customHeight="1" x14ac:dyDescent="0.2">
      <c r="G40"/>
    </row>
    <row r="41" spans="7:9" ht="15" customHeight="1" x14ac:dyDescent="0.2">
      <c r="G41"/>
    </row>
    <row r="42" spans="7:9" ht="15" customHeight="1" x14ac:dyDescent="0.2">
      <c r="G42"/>
    </row>
    <row r="43" spans="7:9" ht="15" customHeight="1" x14ac:dyDescent="0.2">
      <c r="G43" s="23"/>
    </row>
    <row r="44" spans="7:9" ht="15" customHeight="1" x14ac:dyDescent="0.2">
      <c r="G44"/>
    </row>
    <row r="45" spans="7:9" ht="15" customHeight="1" x14ac:dyDescent="0.2">
      <c r="G45"/>
    </row>
    <row r="46" spans="7:9" ht="15" customHeight="1" x14ac:dyDescent="0.2">
      <c r="G46"/>
    </row>
    <row r="47" spans="7:9" ht="15" customHeight="1" x14ac:dyDescent="0.2">
      <c r="G47"/>
    </row>
    <row r="48" spans="7:9" ht="15" customHeight="1" x14ac:dyDescent="0.2">
      <c r="G48"/>
    </row>
    <row r="49" spans="7:7" ht="15" customHeight="1" x14ac:dyDescent="0.2">
      <c r="G49"/>
    </row>
    <row r="50" spans="7:7" ht="15" customHeight="1" x14ac:dyDescent="0.2">
      <c r="G50"/>
    </row>
    <row r="51" spans="7:7" ht="15" customHeight="1" x14ac:dyDescent="0.2">
      <c r="G51"/>
    </row>
    <row r="52" spans="7:7" ht="15" customHeight="1" x14ac:dyDescent="0.2">
      <c r="G52"/>
    </row>
    <row r="53" spans="7:7" ht="15" customHeight="1" x14ac:dyDescent="0.2">
      <c r="G53"/>
    </row>
    <row r="54" spans="7:7" ht="15" customHeight="1" x14ac:dyDescent="0.2">
      <c r="G54"/>
    </row>
    <row r="55" spans="7:7" ht="15" customHeight="1" x14ac:dyDescent="0.2">
      <c r="G55"/>
    </row>
    <row r="56" spans="7:7" x14ac:dyDescent="0.2">
      <c r="G56"/>
    </row>
    <row r="57" spans="7:7" x14ac:dyDescent="0.2">
      <c r="G57"/>
    </row>
    <row r="58" spans="7:7" x14ac:dyDescent="0.2">
      <c r="G58"/>
    </row>
    <row r="59" spans="7:7" x14ac:dyDescent="0.2">
      <c r="G59"/>
    </row>
    <row r="60" spans="7:7" x14ac:dyDescent="0.2">
      <c r="G60"/>
    </row>
    <row r="61" spans="7:7" x14ac:dyDescent="0.2">
      <c r="G61"/>
    </row>
    <row r="62" spans="7:7" x14ac:dyDescent="0.2">
      <c r="G62"/>
    </row>
  </sheetData>
  <pageMargins left="0.7" right="0.7" top="0.75" bottom="0.75" header="0.3" footer="0.3"/>
  <pageSetup orientation="portrait" horizontalDpi="300" verticalDpi="300" r:id="rId1"/>
  <ignoredErrors>
    <ignoredError sqref="J3:J30" calculatedColumn="1"/>
  </ignoredErrors>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8925B-3E77-4771-9750-A0A8789884C3}">
  <dimension ref="B2:D27"/>
  <sheetViews>
    <sheetView zoomScale="70" zoomScaleNormal="70" workbookViewId="0"/>
  </sheetViews>
  <sheetFormatPr baseColWidth="10" defaultColWidth="8.83203125" defaultRowHeight="16" x14ac:dyDescent="0.2"/>
  <cols>
    <col min="1" max="1" width="100.1640625" style="3" customWidth="1"/>
    <col min="2" max="2" width="4.1640625" style="3" customWidth="1"/>
    <col min="3" max="3" width="37.6640625" style="3" customWidth="1"/>
    <col min="4" max="4" width="66.83203125" style="3" customWidth="1"/>
    <col min="5" max="16384" width="8.83203125" style="3"/>
  </cols>
  <sheetData>
    <row r="2" spans="2:4" ht="24" x14ac:dyDescent="0.3">
      <c r="C2" s="4" t="s">
        <v>300</v>
      </c>
      <c r="D2" s="5"/>
    </row>
    <row r="3" spans="2:4" x14ac:dyDescent="0.2">
      <c r="C3" s="6" t="s">
        <v>301</v>
      </c>
      <c r="D3" s="7" t="s">
        <v>302</v>
      </c>
    </row>
    <row r="4" spans="2:4" x14ac:dyDescent="0.2">
      <c r="C4" s="8" t="s">
        <v>303</v>
      </c>
      <c r="D4" s="9" t="s">
        <v>304</v>
      </c>
    </row>
    <row r="5" spans="2:4" x14ac:dyDescent="0.2">
      <c r="C5" s="8" t="s">
        <v>259</v>
      </c>
      <c r="D5" s="9" t="s">
        <v>305</v>
      </c>
    </row>
    <row r="6" spans="2:4" ht="15.75" customHeight="1" x14ac:dyDescent="0.2">
      <c r="C6" s="8" t="s">
        <v>306</v>
      </c>
      <c r="D6" s="9" t="s">
        <v>307</v>
      </c>
    </row>
    <row r="7" spans="2:4" ht="15.75" customHeight="1" x14ac:dyDescent="0.2">
      <c r="C7" s="8" t="s">
        <v>308</v>
      </c>
      <c r="D7" s="9" t="s">
        <v>309</v>
      </c>
    </row>
    <row r="8" spans="2:4" x14ac:dyDescent="0.2">
      <c r="C8" s="8" t="s">
        <v>310</v>
      </c>
      <c r="D8" s="9" t="s">
        <v>311</v>
      </c>
    </row>
    <row r="9" spans="2:4" x14ac:dyDescent="0.2">
      <c r="C9" s="8" t="s">
        <v>312</v>
      </c>
      <c r="D9" s="9" t="s">
        <v>313</v>
      </c>
    </row>
    <row r="10" spans="2:4" x14ac:dyDescent="0.2">
      <c r="B10" s="11"/>
      <c r="C10" s="10" t="s">
        <v>314</v>
      </c>
      <c r="D10" s="8" t="s">
        <v>315</v>
      </c>
    </row>
    <row r="11" spans="2:4" x14ac:dyDescent="0.2">
      <c r="C11" s="8" t="s">
        <v>284</v>
      </c>
      <c r="D11" s="9" t="s">
        <v>316</v>
      </c>
    </row>
    <row r="12" spans="2:4" x14ac:dyDescent="0.2">
      <c r="C12" s="8" t="s">
        <v>235</v>
      </c>
      <c r="D12" s="9" t="s">
        <v>270</v>
      </c>
    </row>
    <row r="13" spans="2:4" x14ac:dyDescent="0.2">
      <c r="C13" s="8" t="s">
        <v>288</v>
      </c>
      <c r="D13" s="9" t="s">
        <v>317</v>
      </c>
    </row>
    <row r="14" spans="2:4" x14ac:dyDescent="0.2">
      <c r="C14" s="8" t="s">
        <v>284</v>
      </c>
      <c r="D14" s="9" t="s">
        <v>316</v>
      </c>
    </row>
    <row r="15" spans="2:4" x14ac:dyDescent="0.2">
      <c r="C15" s="8" t="s">
        <v>235</v>
      </c>
      <c r="D15" s="9" t="s">
        <v>318</v>
      </c>
    </row>
    <row r="16" spans="2:4" x14ac:dyDescent="0.2">
      <c r="C16" s="12" t="s">
        <v>288</v>
      </c>
      <c r="D16" s="13" t="s">
        <v>317</v>
      </c>
    </row>
    <row r="18" spans="3:4" ht="24" x14ac:dyDescent="0.3">
      <c r="C18" s="4" t="s">
        <v>319</v>
      </c>
      <c r="D18" s="5"/>
    </row>
    <row r="19" spans="3:4" x14ac:dyDescent="0.2">
      <c r="C19" s="8" t="s">
        <v>303</v>
      </c>
      <c r="D19" s="9" t="s">
        <v>320</v>
      </c>
    </row>
    <row r="20" spans="3:4" x14ac:dyDescent="0.2">
      <c r="C20" s="8" t="s">
        <v>259</v>
      </c>
      <c r="D20" s="9" t="s">
        <v>321</v>
      </c>
    </row>
    <row r="21" spans="3:4" x14ac:dyDescent="0.2">
      <c r="C21" s="8" t="s">
        <v>322</v>
      </c>
      <c r="D21" s="9" t="s">
        <v>323</v>
      </c>
    </row>
    <row r="22" spans="3:4" x14ac:dyDescent="0.2">
      <c r="C22" s="10" t="s">
        <v>324</v>
      </c>
      <c r="D22" s="8" t="s">
        <v>325</v>
      </c>
    </row>
    <row r="23" spans="3:4" x14ac:dyDescent="0.2">
      <c r="C23" s="8" t="s">
        <v>326</v>
      </c>
      <c r="D23" s="9" t="s">
        <v>327</v>
      </c>
    </row>
    <row r="24" spans="3:4" x14ac:dyDescent="0.2">
      <c r="C24" s="8" t="s">
        <v>328</v>
      </c>
      <c r="D24" s="9" t="s">
        <v>329</v>
      </c>
    </row>
    <row r="25" spans="3:4" x14ac:dyDescent="0.2">
      <c r="C25" s="8" t="s">
        <v>330</v>
      </c>
      <c r="D25" s="9" t="s">
        <v>331</v>
      </c>
    </row>
    <row r="26" spans="3:4" x14ac:dyDescent="0.2">
      <c r="C26" s="8" t="s">
        <v>265</v>
      </c>
      <c r="D26" s="9" t="s">
        <v>332</v>
      </c>
    </row>
    <row r="27" spans="3:4" x14ac:dyDescent="0.2">
      <c r="C27" s="12" t="s">
        <v>333</v>
      </c>
      <c r="D27" s="13" t="s">
        <v>334</v>
      </c>
    </row>
  </sheetData>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1e6f2d80-2360-440b-a86f-4e374efa82c3" xsi:nil="true"/>
    <PublishingExpirationDate xmlns="http://schemas.microsoft.com/sharepoint/v3" xsi:nil="true"/>
    <lcf76f155ced4ddcb4097134ff3c332f xmlns="821b467c-dfb8-4b22-84bd-4d3765027b35">
      <Terms xmlns="http://schemas.microsoft.com/office/infopath/2007/PartnerControls"/>
    </lcf76f155ced4ddcb4097134ff3c332f>
    <PublishingStartDate xmlns="http://schemas.microsoft.com/sharepoint/v3" xsi:nil="true"/>
  </documentManagement>
</p:properties>
</file>

<file path=customXml/item3.xml>��< ? x m l   v e r s i o n = " 1 . 0 "   e n c o d i n g = " u t f - 1 6 " ? > < D a t a M a s h u p   x m l n s = " h t t p : / / s c h e m a s . m i c r o s o f t . c o m / D a t a M a s h u p " > A A A A A A o D A A B Q S w M E F A A C A A g A T Y S 0 W i L k O f y j A A A A 9 g A A A B I A H A B D b 2 5 m a W c v U G F j a 2 F n Z S 5 4 b W w g o h g A K K A U A A A A A A A A A A A A A A A A A A A A A A A A A A A A h Y 9 B D o I w F E S v Q r q n h a q J I Z + y c C u J C d G 4 b W q F R v g Y W i x 3 c + G R v I I Y R d 2 5 n D d v M X O / 3 i A b m j q 4 6 M 6 a F l M S 0 4 g E G l V 7 M F i m p H f H c E k y A R u p T r L U w S i j T Q Z 7 S E n l 3 D l h z H t P / Y y 2 X c l 4 F M V s n 6 8 L V e l G k o 9 s / s u h Q e s k K k 0 E 7 F 5 j B K f x n F O + G D c B m y D k B r 8 C H 7 t n + w N h 1 d e u 7 7 T Q G G 4 L Y F M E 9 v 4 g H l B L A w Q U A A I A C A B N h L R a U 3 I 4 L J s A A A D h A A A A E w A c A F t D b 2 5 0 Z W 5 0 X 1 R 5 c G V z X S 5 4 b W w g o h g A K K A U A A A A A A A A A A A A A A A A A A A A A A A A A A A A b Y 4 9 D s I w D E a v E n l v X R g Q Q k 0 Z g B t w g S i 4 P 6 J x o s Z F 5 W w M H I k r k L Z r R 3 9 + z 5 9 / n 2 9 5 n l y v X j T E z r O G X V 6 A I r b + 0 X G j Y Z Q 6 O 8 K 5 K u / v Q F E l l K O G V i S c E K N t y Z m Y + 0 C c N r U f n J E 0 D g 0 G Y 5 + m I d w X x Q G t Z y G W T O Y b U J V X q s 3 Y i 7 p N K V 5 r k w 7 q s n J z l Q a h S X C J c d N w W 3 z o T c e L g c v D 1 R 9 Q S w M E F A A C A A g A T Y S 0 W i i K R 7 g O A A A A E Q A A A B M A H A B G b 3 J t d W x h c y 9 T Z W N 0 a W 9 u M S 5 t I K I Y A C i g F A A A A A A A A A A A A A A A A A A A A A A A A A A A A C t O T S 7 J z M 9 T C I b Q h t Y A U E s B A i 0 A F A A C A A g A T Y S 0 W i L k O f y j A A A A 9 g A A A B I A A A A A A A A A A A A A A A A A A A A A A E N v b m Z p Z y 9 Q Y W N r Y W d l L n h t b F B L A Q I t A B Q A A g A I A E 2 E t F p T c j g s m w A A A O E A A A A T A A A A A A A A A A A A A A A A A O 8 A A A B b Q 2 9 u d G V u d F 9 U e X B l c 1 0 u e G 1 s U E s B A i 0 A F A A C A A g A T Y S 0 W i i K R 7 g O A A A A E Q A A A B M A A A A A A A A A A A A A A A A A 1 w E A A E Z v c m 1 1 b G F z L 1 N l Y 3 R p b 2 4 x L m 1 Q S w U G A A A A A A M A A w D C A A A A M g 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x Q E A A A A A A A C j 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F 1 Z X J 5 R 3 J v d X B z I i B W Y W x 1 Z T 0 i c 0 F B Q U F B Q T 0 9 I i A v P j x F b n R y e S B U e X B l P S J S Z W x h d G l v b n N o a X B z I i B W Y W x 1 Z T 0 i c 0 F B Q U F B Q T 0 9 I i A v P j w v U 3 R h Y m x l R W 5 0 c m l l c z 4 8 L 0 l 0 Z W 0 + P C 9 J d G V t c z 4 8 L 0 x v Y 2 F s U G F j a 2 F n Z U 1 l d G F k Y X R h R m l s Z T 4 W A A A A U E s F B g A A A A A A A A A A A A A A A A A A A A A A A C Y B A A A B A A A A 0 I y d 3 w E V 0 R G M e g D A T 8 K X 6 w E A A A A 9 W 5 L 3 e P f Y R q I k N r t s u 9 4 l A A A A A A I A A A A A A B B m A A A A A Q A A I A A A A K H J B J u b b H 5 v 6 Z E v y b d C f Y W / 8 I P t d z O G + u V K 9 r Z W r O o E A A A A A A 6 A A A A A A g A A I A A A A J h G u j E Q X p P h 1 j 1 S G 4 F g z e b e Q 6 l A f q c f N k D n s 5 t 5 p 0 l P U A A A A F I m L D r k O b S 9 l L F j 1 Z H p 1 v M U U H 1 P r L E 9 C 7 a l M Y + + r 2 j a t g 8 D u t I F r T 2 M N n c C R D Q 7 N e N U u N o 3 e t c o 1 7 / q 0 L j g W l R r w N O R o 8 E x V 2 y A P B n J 9 i / o Q A A A A G Y Z 8 O M W h c C 1 y V w t m V M d I s t y s x L g F F 4 8 T O 6 E f 9 l n E T c 6 m S w L + i L V o Q q q c V X K C 1 H r o l n p D y / / g e g W p B h 9 g f Q B 3 8 o = < / D a t a M a s h u p > 
</file>

<file path=customXml/item4.xml><?xml version="1.0" encoding="utf-8"?>
<ct:contentTypeSchema xmlns:ct="http://schemas.microsoft.com/office/2006/metadata/contentType" xmlns:ma="http://schemas.microsoft.com/office/2006/metadata/properties/metaAttributes" ct:_="" ma:_="" ma:contentTypeName="Document" ma:contentTypeID="0x0101009129DBE2DD9EFD4B81439A397942DC8A" ma:contentTypeVersion="19" ma:contentTypeDescription="Create a new document." ma:contentTypeScope="" ma:versionID="3d1a1be3a454c0b5e3a1995cb515e1b0">
  <xsd:schema xmlns:xsd="http://www.w3.org/2001/XMLSchema" xmlns:xs="http://www.w3.org/2001/XMLSchema" xmlns:p="http://schemas.microsoft.com/office/2006/metadata/properties" xmlns:ns1="http://schemas.microsoft.com/sharepoint/v3" xmlns:ns2="821b467c-dfb8-4b22-84bd-4d3765027b35" xmlns:ns3="1e6f2d80-2360-440b-a86f-4e374efa82c3" targetNamespace="http://schemas.microsoft.com/office/2006/metadata/properties" ma:root="true" ma:fieldsID="20ca824cb0e5c45a3d012b0e8ac38205" ns1:_="" ns2:_="" ns3:_="">
    <xsd:import namespace="http://schemas.microsoft.com/sharepoint/v3"/>
    <xsd:import namespace="821b467c-dfb8-4b22-84bd-4d3765027b35"/>
    <xsd:import namespace="1e6f2d80-2360-440b-a86f-4e374efa82c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PublishingStartDate" minOccurs="0"/>
                <xsd:element ref="ns1:PublishingExpirationDate" minOccurs="0"/>
                <xsd:element ref="ns2:MediaServiceDateTaken" minOccurs="0"/>
                <xsd:element ref="ns2:MediaLengthInSeconds" minOccurs="0"/>
                <xsd:element ref="ns2:MediaServiceGenerationTime" minOccurs="0"/>
                <xsd:element ref="ns2:MediaServiceEventHashCode" minOccurs="0"/>
                <xsd:element ref="ns2:MediaServiceOCR"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4"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5"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21b467c-dfb8-4b22-84bd-4d3765027b3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974a1e43-e871-45bc-b1a6-ad45634f008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e6f2d80-2360-440b-a86f-4e374efa82c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e4c48b5-122d-403b-b688-6e74920fb17a}" ma:internalName="TaxCatchAll" ma:showField="CatchAllData" ma:web="1e6f2d80-2360-440b-a86f-4e374efa82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ADEC577-E674-4253-9530-3091A81ECC35}">
  <ds:schemaRefs>
    <ds:schemaRef ds:uri="http://schemas.microsoft.com/sharepoint/v3/contenttype/forms"/>
  </ds:schemaRefs>
</ds:datastoreItem>
</file>

<file path=customXml/itemProps2.xml><?xml version="1.0" encoding="utf-8"?>
<ds:datastoreItem xmlns:ds="http://schemas.openxmlformats.org/officeDocument/2006/customXml" ds:itemID="{A1CF6485-B225-4A71-AA0B-7362406A53F0}">
  <ds:schemaRefs>
    <ds:schemaRef ds:uri="http://schemas.microsoft.com/office/2006/metadata/properties"/>
    <ds:schemaRef ds:uri="http://www.w3.org/XML/1998/namespace"/>
    <ds:schemaRef ds:uri="http://schemas.microsoft.com/sharepoint/v3"/>
    <ds:schemaRef ds:uri="http://schemas.microsoft.com/office/2006/documentManagement/types"/>
    <ds:schemaRef ds:uri="http://schemas.microsoft.com/office/infopath/2007/PartnerControls"/>
    <ds:schemaRef ds:uri="http://purl.org/dc/terms/"/>
    <ds:schemaRef ds:uri="http://purl.org/dc/dcmitype/"/>
    <ds:schemaRef ds:uri="821b467c-dfb8-4b22-84bd-4d3765027b35"/>
    <ds:schemaRef ds:uri="http://schemas.openxmlformats.org/package/2006/metadata/core-properties"/>
    <ds:schemaRef ds:uri="1e6f2d80-2360-440b-a86f-4e374efa82c3"/>
    <ds:schemaRef ds:uri="http://purl.org/dc/elements/1.1/"/>
  </ds:schemaRefs>
</ds:datastoreItem>
</file>

<file path=customXml/itemProps3.xml><?xml version="1.0" encoding="utf-8"?>
<ds:datastoreItem xmlns:ds="http://schemas.openxmlformats.org/officeDocument/2006/customXml" ds:itemID="{B3E237EF-63E8-4FAC-81AA-919CB1243B8B}">
  <ds:schemaRefs>
    <ds:schemaRef ds:uri="http://schemas.microsoft.com/DataMashup"/>
  </ds:schemaRefs>
</ds:datastoreItem>
</file>

<file path=customXml/itemProps4.xml><?xml version="1.0" encoding="utf-8"?>
<ds:datastoreItem xmlns:ds="http://schemas.openxmlformats.org/officeDocument/2006/customXml" ds:itemID="{C3F4AA1A-7435-4266-A921-27468D23B3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821b467c-dfb8-4b22-84bd-4d3765027b35"/>
    <ds:schemaRef ds:uri="1e6f2d80-2360-440b-a86f-4e374efa82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Non-Nurse</vt:lpstr>
      <vt:lpstr>Summary Data Non-Nurse</vt:lpstr>
      <vt:lpstr>Summary NonNurse-USA</vt:lpstr>
      <vt:lpstr>Notes &amp; Glossary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Eric Goldwein</dc:creator>
  <cp:keywords/>
  <dc:description/>
  <cp:lastModifiedBy>Richard Mollot</cp:lastModifiedBy>
  <cp:revision/>
  <dcterms:created xsi:type="dcterms:W3CDTF">2023-01-30T20:15:24Z</dcterms:created>
  <dcterms:modified xsi:type="dcterms:W3CDTF">2025-06-13T12:24:43Z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0x0101009129DBE2DD9EFD4B81439A397942DC8A</vt:lpwstr>
  </property>
  <property fmtid="{D5CDD505-2E9C-101B-9397-08002B2CF9AE}" pid="3" name="MediaServiceImageTags">
    <vt:lpwstr/>
  </property>
</Properties>
</file>