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4.xml" ContentType="application/vnd.openxmlformats-officedocument.drawing+xml"/>
  <Override PartName="/xl/webextensions/webextension1.xml" ContentType="application/vnd.ms-office.webextension+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hidePivotFieldList="1" defaultThemeVersion="166925"/>
  <mc:AlternateContent xmlns:mc="http://schemas.openxmlformats.org/markup-compatibility/2006">
    <mc:Choice Requires="x15">
      <x15ac:absPath xmlns:x15ac="http://schemas.microsoft.com/office/spreadsheetml/2010/11/ac" url="/Users/hayleycronquist/Box Sync/*LTCCC/Data/State Staffing Data_edited[95]/"/>
    </mc:Choice>
  </mc:AlternateContent>
  <xr:revisionPtr revIDLastSave="0" documentId="13_ncr:1_{C8CAAFC0-2BD2-FA40-A3E8-80085DFDC7E4}" xr6:coauthVersionLast="47" xr6:coauthVersionMax="47" xr10:uidLastSave="{00000000-0000-0000-0000-000000000000}"/>
  <bookViews>
    <workbookView xWindow="0" yWindow="500" windowWidth="28800" windowHeight="17500" xr2:uid="{67A66CE9-00D2-4A3F-AF07-D49C2DF022CA}"/>
  </bookViews>
  <sheets>
    <sheet name="Nurse" sheetId="6" r:id="rId1"/>
    <sheet name="Contract" sheetId="7" r:id="rId2"/>
    <sheet name="Non-Nurse" sheetId="8" r:id="rId3"/>
    <sheet name="Summary Data" sheetId="10" r:id="rId4"/>
    <sheet name="Charts" sheetId="11" r:id="rId5"/>
    <sheet name="Notes &amp; Glossary" sheetId="12" r:id="rId6"/>
  </sheets>
  <definedNames>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4:slicerCache r:id="rId9"/>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 i="7" l="1"/>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K81" i="7"/>
  <c r="K82" i="7"/>
  <c r="K83" i="7"/>
  <c r="K84" i="7"/>
  <c r="K85" i="7"/>
  <c r="K86" i="7"/>
  <c r="K87" i="7"/>
  <c r="K88" i="7"/>
  <c r="K89" i="7"/>
  <c r="K90" i="7"/>
  <c r="K91" i="7"/>
  <c r="K92" i="7"/>
  <c r="K93" i="7"/>
  <c r="K94" i="7"/>
  <c r="K95" i="7"/>
  <c r="K96" i="7"/>
  <c r="K97" i="7"/>
  <c r="K98" i="7"/>
  <c r="K99" i="7"/>
  <c r="K100" i="7"/>
  <c r="K101" i="7"/>
  <c r="K102" i="7"/>
  <c r="K103" i="7"/>
  <c r="K104" i="7"/>
  <c r="K105" i="7"/>
  <c r="K106" i="7"/>
  <c r="K107" i="7"/>
  <c r="K108" i="7"/>
  <c r="K109" i="7"/>
  <c r="K110" i="7"/>
  <c r="K111" i="7"/>
  <c r="K112" i="7"/>
  <c r="K113" i="7"/>
  <c r="K114" i="7"/>
  <c r="K115" i="7"/>
  <c r="K116" i="7"/>
  <c r="K117" i="7"/>
  <c r="K118" i="7"/>
  <c r="K119" i="7"/>
  <c r="K120" i="7"/>
  <c r="K121" i="7"/>
  <c r="K122" i="7"/>
  <c r="K123" i="7"/>
  <c r="K124" i="7"/>
  <c r="K125" i="7"/>
  <c r="K126" i="7"/>
  <c r="K127" i="7"/>
  <c r="K128" i="7"/>
  <c r="K129"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H128" i="7"/>
  <c r="H129"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F126" i="7"/>
  <c r="F127" i="7"/>
  <c r="F128" i="7"/>
  <c r="F129" i="7"/>
  <c r="G28" i="10"/>
  <c r="G2" i="6"/>
  <c r="G3" i="6"/>
  <c r="G4"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I2" i="6"/>
  <c r="I3" i="6"/>
  <c r="I4" i="6"/>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O2" i="8" l="1"/>
  <c r="R2" i="8"/>
  <c r="V2" i="8"/>
  <c r="Z2" i="8"/>
  <c r="O3" i="8"/>
  <c r="R3" i="8"/>
  <c r="V3" i="8"/>
  <c r="Z3" i="8"/>
  <c r="O4" i="8"/>
  <c r="R4" i="8"/>
  <c r="V4" i="8"/>
  <c r="Z4" i="8"/>
  <c r="O5" i="8"/>
  <c r="R5" i="8"/>
  <c r="V5" i="8"/>
  <c r="Z5" i="8"/>
  <c r="O6" i="8"/>
  <c r="R6" i="8"/>
  <c r="V6" i="8"/>
  <c r="Z6" i="8"/>
  <c r="O7" i="8"/>
  <c r="R7" i="8"/>
  <c r="V7" i="8"/>
  <c r="Z7" i="8"/>
  <c r="O8" i="8"/>
  <c r="R8" i="8"/>
  <c r="V8" i="8"/>
  <c r="Z8" i="8"/>
  <c r="O9" i="8"/>
  <c r="R9" i="8"/>
  <c r="V9" i="8"/>
  <c r="Z9" i="8"/>
  <c r="O10" i="8"/>
  <c r="R10" i="8"/>
  <c r="V10" i="8"/>
  <c r="Z10" i="8"/>
  <c r="O11" i="8"/>
  <c r="R11" i="8"/>
  <c r="V11" i="8"/>
  <c r="Z11" i="8"/>
  <c r="O12" i="8"/>
  <c r="R12" i="8"/>
  <c r="V12" i="8"/>
  <c r="Z12" i="8"/>
  <c r="O13" i="8"/>
  <c r="R13" i="8"/>
  <c r="V13" i="8"/>
  <c r="Z13" i="8"/>
  <c r="O14" i="8"/>
  <c r="R14" i="8"/>
  <c r="V14" i="8"/>
  <c r="Z14" i="8"/>
  <c r="O15" i="8"/>
  <c r="R15" i="8"/>
  <c r="V15" i="8"/>
  <c r="Z15" i="8"/>
  <c r="O16" i="8"/>
  <c r="R16" i="8"/>
  <c r="V16" i="8"/>
  <c r="Z16" i="8"/>
  <c r="O17" i="8"/>
  <c r="R17" i="8"/>
  <c r="V17" i="8"/>
  <c r="Z17" i="8"/>
  <c r="O18" i="8"/>
  <c r="R18" i="8"/>
  <c r="V18" i="8"/>
  <c r="Z18" i="8"/>
  <c r="O19" i="8"/>
  <c r="R19" i="8"/>
  <c r="V19" i="8"/>
  <c r="Z19" i="8"/>
  <c r="O20" i="8"/>
  <c r="R20" i="8"/>
  <c r="V20" i="8"/>
  <c r="Z20" i="8"/>
  <c r="O21" i="8"/>
  <c r="R21" i="8"/>
  <c r="V21" i="8"/>
  <c r="Z21" i="8"/>
  <c r="O22" i="8"/>
  <c r="R22" i="8"/>
  <c r="V22" i="8"/>
  <c r="Z22" i="8"/>
  <c r="O23" i="8"/>
  <c r="R23" i="8"/>
  <c r="V23" i="8"/>
  <c r="Z23" i="8"/>
  <c r="O24" i="8"/>
  <c r="R24" i="8"/>
  <c r="V24" i="8"/>
  <c r="Z24" i="8"/>
  <c r="O25" i="8"/>
  <c r="R25" i="8"/>
  <c r="V25" i="8"/>
  <c r="Z25" i="8"/>
  <c r="O26" i="8"/>
  <c r="R26" i="8"/>
  <c r="V26" i="8"/>
  <c r="Z26" i="8"/>
  <c r="O27" i="8"/>
  <c r="R27" i="8"/>
  <c r="V27" i="8"/>
  <c r="Z27" i="8"/>
  <c r="O28" i="8"/>
  <c r="R28" i="8"/>
  <c r="V28" i="8"/>
  <c r="Z28" i="8"/>
  <c r="O29" i="8"/>
  <c r="R29" i="8"/>
  <c r="V29" i="8"/>
  <c r="Z29" i="8"/>
  <c r="O30" i="8"/>
  <c r="R30" i="8"/>
  <c r="V30" i="8"/>
  <c r="Z30" i="8"/>
  <c r="O31" i="8"/>
  <c r="R31" i="8"/>
  <c r="V31" i="8"/>
  <c r="Z31" i="8"/>
  <c r="O32" i="8"/>
  <c r="R32" i="8"/>
  <c r="V32" i="8"/>
  <c r="Z32" i="8"/>
  <c r="O33" i="8"/>
  <c r="R33" i="8"/>
  <c r="V33" i="8"/>
  <c r="Z33" i="8"/>
  <c r="O34" i="8"/>
  <c r="R34" i="8"/>
  <c r="V34" i="8"/>
  <c r="Z34" i="8"/>
  <c r="O35" i="8"/>
  <c r="R35" i="8"/>
  <c r="V35" i="8"/>
  <c r="Z35" i="8"/>
  <c r="O36" i="8"/>
  <c r="R36" i="8"/>
  <c r="V36" i="8"/>
  <c r="Z36" i="8"/>
  <c r="O37" i="8"/>
  <c r="R37" i="8"/>
  <c r="V37" i="8"/>
  <c r="Z37" i="8"/>
  <c r="O38" i="8"/>
  <c r="R38" i="8"/>
  <c r="V38" i="8"/>
  <c r="Z38" i="8"/>
  <c r="O39" i="8"/>
  <c r="R39" i="8"/>
  <c r="V39" i="8"/>
  <c r="Z39" i="8"/>
  <c r="O40" i="8"/>
  <c r="R40" i="8"/>
  <c r="V40" i="8"/>
  <c r="Z40" i="8"/>
  <c r="O41" i="8"/>
  <c r="R41" i="8"/>
  <c r="V41" i="8"/>
  <c r="Z41" i="8"/>
  <c r="O42" i="8"/>
  <c r="R42" i="8"/>
  <c r="V42" i="8"/>
  <c r="Z42" i="8"/>
  <c r="O43" i="8"/>
  <c r="R43" i="8"/>
  <c r="V43" i="8"/>
  <c r="Z43" i="8"/>
  <c r="O44" i="8"/>
  <c r="R44" i="8"/>
  <c r="V44" i="8"/>
  <c r="Z44" i="8"/>
  <c r="O45" i="8"/>
  <c r="R45" i="8"/>
  <c r="V45" i="8"/>
  <c r="Z45" i="8"/>
  <c r="O46" i="8"/>
  <c r="R46" i="8"/>
  <c r="V46" i="8"/>
  <c r="Z46" i="8"/>
  <c r="O47" i="8"/>
  <c r="R47" i="8"/>
  <c r="V47" i="8"/>
  <c r="Z47" i="8"/>
  <c r="O48" i="8"/>
  <c r="R48" i="8"/>
  <c r="V48" i="8"/>
  <c r="Z48" i="8"/>
  <c r="O49" i="8"/>
  <c r="R49" i="8"/>
  <c r="V49" i="8"/>
  <c r="Z49" i="8"/>
  <c r="O50" i="8"/>
  <c r="R50" i="8"/>
  <c r="V50" i="8"/>
  <c r="Z50" i="8"/>
  <c r="O51" i="8"/>
  <c r="R51" i="8"/>
  <c r="V51" i="8"/>
  <c r="Z51" i="8"/>
  <c r="O52" i="8"/>
  <c r="R52" i="8"/>
  <c r="V52" i="8"/>
  <c r="Z52" i="8"/>
  <c r="O53" i="8"/>
  <c r="R53" i="8"/>
  <c r="V53" i="8"/>
  <c r="Z53" i="8"/>
  <c r="O54" i="8"/>
  <c r="R54" i="8"/>
  <c r="V54" i="8"/>
  <c r="Z54" i="8"/>
  <c r="O55" i="8"/>
  <c r="R55" i="8"/>
  <c r="V55" i="8"/>
  <c r="Z55" i="8"/>
  <c r="O56" i="8"/>
  <c r="R56" i="8"/>
  <c r="V56" i="8"/>
  <c r="Z56" i="8"/>
  <c r="O57" i="8"/>
  <c r="R57" i="8"/>
  <c r="V57" i="8"/>
  <c r="Z57" i="8"/>
  <c r="O58" i="8"/>
  <c r="R58" i="8"/>
  <c r="V58" i="8"/>
  <c r="Z58" i="8"/>
  <c r="O59" i="8"/>
  <c r="R59" i="8"/>
  <c r="V59" i="8"/>
  <c r="Z59" i="8"/>
  <c r="O60" i="8"/>
  <c r="R60" i="8"/>
  <c r="V60" i="8"/>
  <c r="Z60" i="8"/>
  <c r="O61" i="8"/>
  <c r="R61" i="8"/>
  <c r="V61" i="8"/>
  <c r="Z61" i="8"/>
  <c r="O62" i="8"/>
  <c r="R62" i="8"/>
  <c r="V62" i="8"/>
  <c r="Z62" i="8"/>
  <c r="O63" i="8"/>
  <c r="R63" i="8"/>
  <c r="V63" i="8"/>
  <c r="Z63" i="8"/>
  <c r="O64" i="8"/>
  <c r="R64" i="8"/>
  <c r="V64" i="8"/>
  <c r="Z64" i="8"/>
  <c r="O65" i="8"/>
  <c r="R65" i="8"/>
  <c r="V65" i="8"/>
  <c r="Z65" i="8"/>
  <c r="O66" i="8"/>
  <c r="R66" i="8"/>
  <c r="V66" i="8"/>
  <c r="Z66" i="8"/>
  <c r="O67" i="8"/>
  <c r="R67" i="8"/>
  <c r="V67" i="8"/>
  <c r="Z67" i="8"/>
  <c r="O68" i="8"/>
  <c r="R68" i="8"/>
  <c r="V68" i="8"/>
  <c r="Z68" i="8"/>
  <c r="O69" i="8"/>
  <c r="R69" i="8"/>
  <c r="V69" i="8"/>
  <c r="Z69" i="8"/>
  <c r="O70" i="8"/>
  <c r="R70" i="8"/>
  <c r="V70" i="8"/>
  <c r="Z70" i="8"/>
  <c r="O71" i="8"/>
  <c r="R71" i="8"/>
  <c r="V71" i="8"/>
  <c r="Z71" i="8"/>
  <c r="O72" i="8"/>
  <c r="R72" i="8"/>
  <c r="V72" i="8"/>
  <c r="Z72" i="8"/>
  <c r="O73" i="8"/>
  <c r="R73" i="8"/>
  <c r="V73" i="8"/>
  <c r="Z73" i="8"/>
  <c r="O74" i="8"/>
  <c r="R74" i="8"/>
  <c r="V74" i="8"/>
  <c r="Z74" i="8"/>
  <c r="O75" i="8"/>
  <c r="R75" i="8"/>
  <c r="V75" i="8"/>
  <c r="Z75" i="8"/>
  <c r="O76" i="8"/>
  <c r="R76" i="8"/>
  <c r="V76" i="8"/>
  <c r="Z76" i="8"/>
  <c r="O77" i="8"/>
  <c r="R77" i="8"/>
  <c r="V77" i="8"/>
  <c r="Z77" i="8"/>
  <c r="O78" i="8"/>
  <c r="R78" i="8"/>
  <c r="V78" i="8"/>
  <c r="Z78" i="8"/>
  <c r="O79" i="8"/>
  <c r="R79" i="8"/>
  <c r="V79" i="8"/>
  <c r="Z79" i="8"/>
  <c r="O80" i="8"/>
  <c r="R80" i="8"/>
  <c r="V80" i="8"/>
  <c r="Z80" i="8"/>
  <c r="O81" i="8"/>
  <c r="R81" i="8"/>
  <c r="V81" i="8"/>
  <c r="Z81" i="8"/>
  <c r="O82" i="8"/>
  <c r="R82" i="8"/>
  <c r="V82" i="8"/>
  <c r="Z82" i="8"/>
  <c r="O83" i="8"/>
  <c r="R83" i="8"/>
  <c r="V83" i="8"/>
  <c r="Z83" i="8"/>
  <c r="O84" i="8"/>
  <c r="R84" i="8"/>
  <c r="V84" i="8"/>
  <c r="Z84" i="8"/>
  <c r="O85" i="8"/>
  <c r="R85" i="8"/>
  <c r="V85" i="8"/>
  <c r="Z85" i="8"/>
  <c r="O86" i="8"/>
  <c r="R86" i="8"/>
  <c r="V86" i="8"/>
  <c r="Z86" i="8"/>
  <c r="O87" i="8"/>
  <c r="R87" i="8"/>
  <c r="V87" i="8"/>
  <c r="Z87" i="8"/>
  <c r="O88" i="8"/>
  <c r="R88" i="8"/>
  <c r="V88" i="8"/>
  <c r="Z88" i="8"/>
  <c r="O89" i="8"/>
  <c r="R89" i="8"/>
  <c r="V89" i="8"/>
  <c r="Z89" i="8"/>
  <c r="O90" i="8"/>
  <c r="R90" i="8"/>
  <c r="V90" i="8"/>
  <c r="Z90" i="8"/>
  <c r="O91" i="8"/>
  <c r="R91" i="8"/>
  <c r="V91" i="8"/>
  <c r="Z91" i="8"/>
  <c r="O92" i="8"/>
  <c r="R92" i="8"/>
  <c r="V92" i="8"/>
  <c r="Z92" i="8"/>
  <c r="O93" i="8"/>
  <c r="R93" i="8"/>
  <c r="V93" i="8"/>
  <c r="Z93" i="8"/>
  <c r="O94" i="8"/>
  <c r="R94" i="8"/>
  <c r="V94" i="8"/>
  <c r="Z94" i="8"/>
  <c r="O95" i="8"/>
  <c r="R95" i="8"/>
  <c r="V95" i="8"/>
  <c r="Z95" i="8"/>
  <c r="O96" i="8"/>
  <c r="R96" i="8"/>
  <c r="V96" i="8"/>
  <c r="Z96" i="8"/>
  <c r="O97" i="8"/>
  <c r="R97" i="8"/>
  <c r="V97" i="8"/>
  <c r="Z97" i="8"/>
  <c r="O98" i="8"/>
  <c r="R98" i="8"/>
  <c r="V98" i="8"/>
  <c r="Z98" i="8"/>
  <c r="O99" i="8"/>
  <c r="R99" i="8"/>
  <c r="V99" i="8"/>
  <c r="Z99" i="8"/>
  <c r="O100" i="8"/>
  <c r="R100" i="8"/>
  <c r="V100" i="8"/>
  <c r="Z100" i="8"/>
  <c r="O101" i="8"/>
  <c r="R101" i="8"/>
  <c r="V101" i="8"/>
  <c r="Z101" i="8"/>
  <c r="O102" i="8"/>
  <c r="R102" i="8"/>
  <c r="V102" i="8"/>
  <c r="Z102" i="8"/>
  <c r="O103" i="8"/>
  <c r="R103" i="8"/>
  <c r="V103" i="8"/>
  <c r="Z103" i="8"/>
  <c r="O104" i="8"/>
  <c r="R104" i="8"/>
  <c r="V104" i="8"/>
  <c r="Z104" i="8"/>
  <c r="O105" i="8"/>
  <c r="R105" i="8"/>
  <c r="V105" i="8"/>
  <c r="Z105" i="8"/>
  <c r="O106" i="8"/>
  <c r="R106" i="8"/>
  <c r="V106" i="8"/>
  <c r="Z106" i="8"/>
  <c r="O107" i="8"/>
  <c r="R107" i="8"/>
  <c r="V107" i="8"/>
  <c r="Z107" i="8"/>
  <c r="O108" i="8"/>
  <c r="R108" i="8"/>
  <c r="V108" i="8"/>
  <c r="Z108" i="8"/>
  <c r="O109" i="8"/>
  <c r="R109" i="8"/>
  <c r="V109" i="8"/>
  <c r="Z109" i="8"/>
  <c r="O110" i="8"/>
  <c r="R110" i="8"/>
  <c r="V110" i="8"/>
  <c r="Z110" i="8"/>
  <c r="O111" i="8"/>
  <c r="R111" i="8"/>
  <c r="V111" i="8"/>
  <c r="Z111" i="8"/>
  <c r="O112" i="8"/>
  <c r="R112" i="8"/>
  <c r="V112" i="8"/>
  <c r="Z112" i="8"/>
  <c r="O113" i="8"/>
  <c r="R113" i="8"/>
  <c r="V113" i="8"/>
  <c r="Z113" i="8"/>
  <c r="O114" i="8"/>
  <c r="R114" i="8"/>
  <c r="V114" i="8"/>
  <c r="Z114" i="8"/>
  <c r="O115" i="8"/>
  <c r="R115" i="8"/>
  <c r="V115" i="8"/>
  <c r="Z115" i="8"/>
  <c r="O116" i="8"/>
  <c r="R116" i="8"/>
  <c r="V116" i="8"/>
  <c r="Z116" i="8"/>
  <c r="O117" i="8"/>
  <c r="R117" i="8"/>
  <c r="V117" i="8"/>
  <c r="Z117" i="8"/>
  <c r="O118" i="8"/>
  <c r="R118" i="8"/>
  <c r="V118" i="8"/>
  <c r="Z118" i="8"/>
  <c r="O119" i="8"/>
  <c r="R119" i="8"/>
  <c r="V119" i="8"/>
  <c r="Z119" i="8"/>
  <c r="O120" i="8"/>
  <c r="R120" i="8"/>
  <c r="V120" i="8"/>
  <c r="Z120" i="8"/>
  <c r="O121" i="8"/>
  <c r="R121" i="8"/>
  <c r="V121" i="8"/>
  <c r="Z121" i="8"/>
  <c r="O122" i="8"/>
  <c r="R122" i="8"/>
  <c r="V122" i="8"/>
  <c r="Z122" i="8"/>
  <c r="O123" i="8"/>
  <c r="R123" i="8"/>
  <c r="V123" i="8"/>
  <c r="Z123" i="8"/>
  <c r="O124" i="8"/>
  <c r="R124" i="8"/>
  <c r="V124" i="8"/>
  <c r="Z124" i="8"/>
  <c r="O125" i="8"/>
  <c r="R125" i="8"/>
  <c r="V125" i="8"/>
  <c r="Z125" i="8"/>
  <c r="O126" i="8"/>
  <c r="R126" i="8"/>
  <c r="V126" i="8"/>
  <c r="Z126" i="8"/>
  <c r="O127" i="8"/>
  <c r="R127" i="8"/>
  <c r="V127" i="8"/>
  <c r="Z127" i="8"/>
  <c r="O128" i="8"/>
  <c r="R128" i="8"/>
  <c r="V128" i="8"/>
  <c r="Z128" i="8"/>
  <c r="O129" i="8"/>
  <c r="R129" i="8"/>
  <c r="V129" i="8"/>
  <c r="Z129" i="8"/>
  <c r="K2" i="6" l="1"/>
  <c r="L2" i="6"/>
  <c r="P2" i="6"/>
  <c r="S2" i="6"/>
  <c r="W2" i="6"/>
  <c r="K3" i="6"/>
  <c r="L3" i="6"/>
  <c r="P3" i="6"/>
  <c r="S3" i="6"/>
  <c r="W3" i="6"/>
  <c r="K4" i="6"/>
  <c r="L4" i="6"/>
  <c r="P4" i="6"/>
  <c r="S4" i="6"/>
  <c r="W4" i="6"/>
  <c r="K5" i="6"/>
  <c r="L5" i="6"/>
  <c r="P5" i="6"/>
  <c r="S5" i="6"/>
  <c r="W5" i="6"/>
  <c r="K6" i="6"/>
  <c r="L6" i="6"/>
  <c r="P6" i="6"/>
  <c r="S6" i="6"/>
  <c r="W6" i="6"/>
  <c r="K7" i="6"/>
  <c r="L7" i="6"/>
  <c r="P7" i="6"/>
  <c r="S7" i="6"/>
  <c r="W7" i="6"/>
  <c r="K8" i="6"/>
  <c r="L8" i="6"/>
  <c r="P8" i="6"/>
  <c r="S8" i="6"/>
  <c r="W8" i="6"/>
  <c r="K9" i="6"/>
  <c r="L9" i="6"/>
  <c r="P9" i="6"/>
  <c r="S9" i="6"/>
  <c r="W9" i="6"/>
  <c r="K10" i="6"/>
  <c r="L10" i="6"/>
  <c r="P10" i="6"/>
  <c r="S10" i="6"/>
  <c r="W10" i="6"/>
  <c r="K11" i="6"/>
  <c r="L11" i="6"/>
  <c r="P11" i="6"/>
  <c r="S11" i="6"/>
  <c r="W11" i="6"/>
  <c r="K12" i="6"/>
  <c r="L12" i="6"/>
  <c r="P12" i="6"/>
  <c r="S12" i="6"/>
  <c r="W12" i="6"/>
  <c r="K13" i="6"/>
  <c r="L13" i="6"/>
  <c r="P13" i="6"/>
  <c r="S13" i="6"/>
  <c r="W13" i="6"/>
  <c r="K14" i="6"/>
  <c r="L14" i="6"/>
  <c r="P14" i="6"/>
  <c r="S14" i="6"/>
  <c r="W14" i="6"/>
  <c r="K15" i="6"/>
  <c r="L15" i="6"/>
  <c r="P15" i="6"/>
  <c r="S15" i="6"/>
  <c r="W15" i="6"/>
  <c r="K16" i="6"/>
  <c r="L16" i="6"/>
  <c r="P16" i="6"/>
  <c r="S16" i="6"/>
  <c r="W16" i="6"/>
  <c r="K17" i="6"/>
  <c r="L17" i="6"/>
  <c r="P17" i="6"/>
  <c r="S17" i="6"/>
  <c r="W17" i="6"/>
  <c r="K18" i="6"/>
  <c r="L18" i="6"/>
  <c r="P18" i="6"/>
  <c r="S18" i="6"/>
  <c r="W18" i="6"/>
  <c r="K19" i="6"/>
  <c r="L19" i="6"/>
  <c r="P19" i="6"/>
  <c r="S19" i="6"/>
  <c r="W19" i="6"/>
  <c r="K20" i="6"/>
  <c r="L20" i="6"/>
  <c r="P20" i="6"/>
  <c r="S20" i="6"/>
  <c r="W20" i="6"/>
  <c r="K21" i="6"/>
  <c r="L21" i="6"/>
  <c r="P21" i="6"/>
  <c r="S21" i="6"/>
  <c r="W21" i="6"/>
  <c r="K22" i="6"/>
  <c r="L22" i="6"/>
  <c r="P22" i="6"/>
  <c r="S22" i="6"/>
  <c r="W22" i="6"/>
  <c r="K23" i="6"/>
  <c r="L23" i="6"/>
  <c r="P23" i="6"/>
  <c r="S23" i="6"/>
  <c r="W23" i="6"/>
  <c r="K24" i="6"/>
  <c r="L24" i="6"/>
  <c r="P24" i="6"/>
  <c r="S24" i="6"/>
  <c r="W24" i="6"/>
  <c r="K25" i="6"/>
  <c r="L25" i="6"/>
  <c r="P25" i="6"/>
  <c r="S25" i="6"/>
  <c r="W25" i="6"/>
  <c r="K26" i="6"/>
  <c r="L26" i="6"/>
  <c r="P26" i="6"/>
  <c r="S26" i="6"/>
  <c r="W26" i="6"/>
  <c r="K27" i="6"/>
  <c r="L27" i="6"/>
  <c r="P27" i="6"/>
  <c r="S27" i="6"/>
  <c r="W27" i="6"/>
  <c r="K28" i="6"/>
  <c r="L28" i="6"/>
  <c r="P28" i="6"/>
  <c r="S28" i="6"/>
  <c r="W28" i="6"/>
  <c r="K29" i="6"/>
  <c r="L29" i="6"/>
  <c r="P29" i="6"/>
  <c r="S29" i="6"/>
  <c r="W29" i="6"/>
  <c r="K30" i="6"/>
  <c r="L30" i="6"/>
  <c r="P30" i="6"/>
  <c r="S30" i="6"/>
  <c r="W30" i="6"/>
  <c r="K31" i="6"/>
  <c r="L31" i="6"/>
  <c r="P31" i="6"/>
  <c r="S31" i="6"/>
  <c r="W31" i="6"/>
  <c r="K32" i="6"/>
  <c r="L32" i="6"/>
  <c r="P32" i="6"/>
  <c r="S32" i="6"/>
  <c r="W32" i="6"/>
  <c r="K33" i="6"/>
  <c r="L33" i="6"/>
  <c r="P33" i="6"/>
  <c r="S33" i="6"/>
  <c r="W33" i="6"/>
  <c r="K34" i="6"/>
  <c r="L34" i="6"/>
  <c r="P34" i="6"/>
  <c r="S34" i="6"/>
  <c r="W34" i="6"/>
  <c r="K35" i="6"/>
  <c r="L35" i="6"/>
  <c r="P35" i="6"/>
  <c r="S35" i="6"/>
  <c r="W35" i="6"/>
  <c r="K36" i="6"/>
  <c r="L36" i="6"/>
  <c r="P36" i="6"/>
  <c r="S36" i="6"/>
  <c r="W36" i="6"/>
  <c r="K37" i="6"/>
  <c r="L37" i="6"/>
  <c r="P37" i="6"/>
  <c r="S37" i="6"/>
  <c r="W37" i="6"/>
  <c r="K38" i="6"/>
  <c r="L38" i="6"/>
  <c r="P38" i="6"/>
  <c r="S38" i="6"/>
  <c r="W38" i="6"/>
  <c r="K39" i="6"/>
  <c r="L39" i="6"/>
  <c r="P39" i="6"/>
  <c r="S39" i="6"/>
  <c r="W39" i="6"/>
  <c r="K40" i="6"/>
  <c r="L40" i="6"/>
  <c r="P40" i="6"/>
  <c r="S40" i="6"/>
  <c r="W40" i="6"/>
  <c r="K41" i="6"/>
  <c r="L41" i="6"/>
  <c r="P41" i="6"/>
  <c r="S41" i="6"/>
  <c r="W41" i="6"/>
  <c r="K42" i="6"/>
  <c r="L42" i="6"/>
  <c r="P42" i="6"/>
  <c r="S42" i="6"/>
  <c r="W42" i="6"/>
  <c r="K43" i="6"/>
  <c r="L43" i="6"/>
  <c r="P43" i="6"/>
  <c r="S43" i="6"/>
  <c r="W43" i="6"/>
  <c r="K44" i="6"/>
  <c r="L44" i="6"/>
  <c r="P44" i="6"/>
  <c r="S44" i="6"/>
  <c r="W44" i="6"/>
  <c r="K45" i="6"/>
  <c r="L45" i="6"/>
  <c r="P45" i="6"/>
  <c r="S45" i="6"/>
  <c r="W45" i="6"/>
  <c r="K46" i="6"/>
  <c r="L46" i="6"/>
  <c r="P46" i="6"/>
  <c r="S46" i="6"/>
  <c r="W46" i="6"/>
  <c r="K47" i="6"/>
  <c r="L47" i="6"/>
  <c r="P47" i="6"/>
  <c r="S47" i="6"/>
  <c r="W47" i="6"/>
  <c r="K48" i="6"/>
  <c r="L48" i="6"/>
  <c r="P48" i="6"/>
  <c r="S48" i="6"/>
  <c r="W48" i="6"/>
  <c r="K49" i="6"/>
  <c r="L49" i="6"/>
  <c r="P49" i="6"/>
  <c r="S49" i="6"/>
  <c r="W49" i="6"/>
  <c r="K50" i="6"/>
  <c r="L50" i="6"/>
  <c r="P50" i="6"/>
  <c r="S50" i="6"/>
  <c r="W50" i="6"/>
  <c r="K51" i="6"/>
  <c r="L51" i="6"/>
  <c r="P51" i="6"/>
  <c r="S51" i="6"/>
  <c r="W51" i="6"/>
  <c r="K52" i="6"/>
  <c r="L52" i="6"/>
  <c r="P52" i="6"/>
  <c r="S52" i="6"/>
  <c r="W52" i="6"/>
  <c r="K53" i="6"/>
  <c r="L53" i="6"/>
  <c r="P53" i="6"/>
  <c r="S53" i="6"/>
  <c r="W53" i="6"/>
  <c r="K54" i="6"/>
  <c r="L54" i="6"/>
  <c r="P54" i="6"/>
  <c r="S54" i="6"/>
  <c r="W54" i="6"/>
  <c r="K55" i="6"/>
  <c r="L55" i="6"/>
  <c r="P55" i="6"/>
  <c r="S55" i="6"/>
  <c r="W55" i="6"/>
  <c r="K56" i="6"/>
  <c r="L56" i="6"/>
  <c r="P56" i="6"/>
  <c r="S56" i="6"/>
  <c r="W56" i="6"/>
  <c r="K57" i="6"/>
  <c r="L57" i="6"/>
  <c r="P57" i="6"/>
  <c r="S57" i="6"/>
  <c r="W57" i="6"/>
  <c r="K58" i="6"/>
  <c r="L58" i="6"/>
  <c r="P58" i="6"/>
  <c r="S58" i="6"/>
  <c r="W58" i="6"/>
  <c r="K59" i="6"/>
  <c r="L59" i="6"/>
  <c r="P59" i="6"/>
  <c r="S59" i="6"/>
  <c r="W59" i="6"/>
  <c r="K60" i="6"/>
  <c r="L60" i="6"/>
  <c r="P60" i="6"/>
  <c r="S60" i="6"/>
  <c r="W60" i="6"/>
  <c r="K61" i="6"/>
  <c r="L61" i="6"/>
  <c r="P61" i="6"/>
  <c r="S61" i="6"/>
  <c r="W61" i="6"/>
  <c r="K62" i="6"/>
  <c r="L62" i="6"/>
  <c r="P62" i="6"/>
  <c r="S62" i="6"/>
  <c r="W62" i="6"/>
  <c r="K63" i="6"/>
  <c r="L63" i="6"/>
  <c r="P63" i="6"/>
  <c r="S63" i="6"/>
  <c r="W63" i="6"/>
  <c r="K64" i="6"/>
  <c r="L64" i="6"/>
  <c r="P64" i="6"/>
  <c r="S64" i="6"/>
  <c r="W64" i="6"/>
  <c r="K65" i="6"/>
  <c r="L65" i="6"/>
  <c r="P65" i="6"/>
  <c r="S65" i="6"/>
  <c r="W65" i="6"/>
  <c r="K66" i="6"/>
  <c r="L66" i="6"/>
  <c r="P66" i="6"/>
  <c r="S66" i="6"/>
  <c r="W66" i="6"/>
  <c r="K67" i="6"/>
  <c r="L67" i="6"/>
  <c r="P67" i="6"/>
  <c r="S67" i="6"/>
  <c r="W67" i="6"/>
  <c r="K68" i="6"/>
  <c r="L68" i="6"/>
  <c r="P68" i="6"/>
  <c r="S68" i="6"/>
  <c r="W68" i="6"/>
  <c r="K69" i="6"/>
  <c r="L69" i="6"/>
  <c r="P69" i="6"/>
  <c r="S69" i="6"/>
  <c r="W69" i="6"/>
  <c r="K70" i="6"/>
  <c r="L70" i="6"/>
  <c r="P70" i="6"/>
  <c r="S70" i="6"/>
  <c r="W70" i="6"/>
  <c r="K71" i="6"/>
  <c r="L71" i="6"/>
  <c r="P71" i="6"/>
  <c r="S71" i="6"/>
  <c r="W71" i="6"/>
  <c r="K72" i="6"/>
  <c r="L72" i="6"/>
  <c r="P72" i="6"/>
  <c r="S72" i="6"/>
  <c r="W72" i="6"/>
  <c r="K73" i="6"/>
  <c r="L73" i="6"/>
  <c r="P73" i="6"/>
  <c r="S73" i="6"/>
  <c r="W73" i="6"/>
  <c r="K74" i="6"/>
  <c r="L74" i="6"/>
  <c r="P74" i="6"/>
  <c r="S74" i="6"/>
  <c r="W74" i="6"/>
  <c r="K75" i="6"/>
  <c r="L75" i="6"/>
  <c r="P75" i="6"/>
  <c r="S75" i="6"/>
  <c r="W75" i="6"/>
  <c r="K76" i="6"/>
  <c r="L76" i="6"/>
  <c r="P76" i="6"/>
  <c r="S76" i="6"/>
  <c r="W76" i="6"/>
  <c r="K77" i="6"/>
  <c r="L77" i="6"/>
  <c r="P77" i="6"/>
  <c r="S77" i="6"/>
  <c r="W77" i="6"/>
  <c r="K78" i="6"/>
  <c r="L78" i="6"/>
  <c r="P78" i="6"/>
  <c r="S78" i="6"/>
  <c r="W78" i="6"/>
  <c r="K79" i="6"/>
  <c r="L79" i="6"/>
  <c r="P79" i="6"/>
  <c r="S79" i="6"/>
  <c r="W79" i="6"/>
  <c r="K80" i="6"/>
  <c r="L80" i="6"/>
  <c r="P80" i="6"/>
  <c r="S80" i="6"/>
  <c r="W80" i="6"/>
  <c r="K81" i="6"/>
  <c r="L81" i="6"/>
  <c r="P81" i="6"/>
  <c r="S81" i="6"/>
  <c r="W81" i="6"/>
  <c r="K82" i="6"/>
  <c r="L82" i="6"/>
  <c r="P82" i="6"/>
  <c r="S82" i="6"/>
  <c r="W82" i="6"/>
  <c r="K83" i="6"/>
  <c r="L83" i="6"/>
  <c r="P83" i="6"/>
  <c r="S83" i="6"/>
  <c r="W83" i="6"/>
  <c r="K84" i="6"/>
  <c r="L84" i="6"/>
  <c r="P84" i="6"/>
  <c r="S84" i="6"/>
  <c r="W84" i="6"/>
  <c r="K85" i="6"/>
  <c r="L85" i="6"/>
  <c r="P85" i="6"/>
  <c r="S85" i="6"/>
  <c r="W85" i="6"/>
  <c r="K86" i="6"/>
  <c r="L86" i="6"/>
  <c r="P86" i="6"/>
  <c r="S86" i="6"/>
  <c r="W86" i="6"/>
  <c r="K87" i="6"/>
  <c r="L87" i="6"/>
  <c r="P87" i="6"/>
  <c r="S87" i="6"/>
  <c r="W87" i="6"/>
  <c r="K88" i="6"/>
  <c r="L88" i="6"/>
  <c r="P88" i="6"/>
  <c r="S88" i="6"/>
  <c r="W88" i="6"/>
  <c r="K89" i="6"/>
  <c r="L89" i="6"/>
  <c r="P89" i="6"/>
  <c r="S89" i="6"/>
  <c r="W89" i="6"/>
  <c r="K90" i="6"/>
  <c r="L90" i="6"/>
  <c r="P90" i="6"/>
  <c r="S90" i="6"/>
  <c r="W90" i="6"/>
  <c r="K91" i="6"/>
  <c r="L91" i="6"/>
  <c r="P91" i="6"/>
  <c r="S91" i="6"/>
  <c r="W91" i="6"/>
  <c r="K92" i="6"/>
  <c r="L92" i="6"/>
  <c r="P92" i="6"/>
  <c r="S92" i="6"/>
  <c r="W92" i="6"/>
  <c r="K93" i="6"/>
  <c r="L93" i="6"/>
  <c r="P93" i="6"/>
  <c r="S93" i="6"/>
  <c r="W93" i="6"/>
  <c r="K94" i="6"/>
  <c r="L94" i="6"/>
  <c r="P94" i="6"/>
  <c r="S94" i="6"/>
  <c r="W94" i="6"/>
  <c r="K95" i="6"/>
  <c r="L95" i="6"/>
  <c r="P95" i="6"/>
  <c r="S95" i="6"/>
  <c r="W95" i="6"/>
  <c r="K96" i="6"/>
  <c r="L96" i="6"/>
  <c r="P96" i="6"/>
  <c r="S96" i="6"/>
  <c r="W96" i="6"/>
  <c r="K97" i="6"/>
  <c r="L97" i="6"/>
  <c r="P97" i="6"/>
  <c r="S97" i="6"/>
  <c r="W97" i="6"/>
  <c r="K98" i="6"/>
  <c r="L98" i="6"/>
  <c r="P98" i="6"/>
  <c r="S98" i="6"/>
  <c r="W98" i="6"/>
  <c r="K99" i="6"/>
  <c r="L99" i="6"/>
  <c r="P99" i="6"/>
  <c r="S99" i="6"/>
  <c r="W99" i="6"/>
  <c r="K100" i="6"/>
  <c r="L100" i="6"/>
  <c r="P100" i="6"/>
  <c r="S100" i="6"/>
  <c r="W100" i="6"/>
  <c r="K101" i="6"/>
  <c r="L101" i="6"/>
  <c r="P101" i="6"/>
  <c r="S101" i="6"/>
  <c r="W101" i="6"/>
  <c r="K102" i="6"/>
  <c r="L102" i="6"/>
  <c r="P102" i="6"/>
  <c r="S102" i="6"/>
  <c r="W102" i="6"/>
  <c r="K103" i="6"/>
  <c r="L103" i="6"/>
  <c r="P103" i="6"/>
  <c r="S103" i="6"/>
  <c r="W103" i="6"/>
  <c r="K104" i="6"/>
  <c r="L104" i="6"/>
  <c r="P104" i="6"/>
  <c r="S104" i="6"/>
  <c r="W104" i="6"/>
  <c r="K105" i="6"/>
  <c r="L105" i="6"/>
  <c r="P105" i="6"/>
  <c r="S105" i="6"/>
  <c r="W105" i="6"/>
  <c r="K106" i="6"/>
  <c r="L106" i="6"/>
  <c r="P106" i="6"/>
  <c r="S106" i="6"/>
  <c r="W106" i="6"/>
  <c r="K107" i="6"/>
  <c r="L107" i="6"/>
  <c r="P107" i="6"/>
  <c r="S107" i="6"/>
  <c r="W107" i="6"/>
  <c r="K108" i="6"/>
  <c r="L108" i="6"/>
  <c r="P108" i="6"/>
  <c r="S108" i="6"/>
  <c r="W108" i="6"/>
  <c r="K109" i="6"/>
  <c r="L109" i="6"/>
  <c r="P109" i="6"/>
  <c r="S109" i="6"/>
  <c r="W109" i="6"/>
  <c r="K110" i="6"/>
  <c r="L110" i="6"/>
  <c r="P110" i="6"/>
  <c r="S110" i="6"/>
  <c r="W110" i="6"/>
  <c r="K111" i="6"/>
  <c r="L111" i="6"/>
  <c r="P111" i="6"/>
  <c r="S111" i="6"/>
  <c r="W111" i="6"/>
  <c r="K112" i="6"/>
  <c r="L112" i="6"/>
  <c r="P112" i="6"/>
  <c r="S112" i="6"/>
  <c r="W112" i="6"/>
  <c r="K113" i="6"/>
  <c r="L113" i="6"/>
  <c r="P113" i="6"/>
  <c r="S113" i="6"/>
  <c r="W113" i="6"/>
  <c r="K114" i="6"/>
  <c r="L114" i="6"/>
  <c r="P114" i="6"/>
  <c r="S114" i="6"/>
  <c r="W114" i="6"/>
  <c r="K115" i="6"/>
  <c r="L115" i="6"/>
  <c r="P115" i="6"/>
  <c r="S115" i="6"/>
  <c r="W115" i="6"/>
  <c r="K116" i="6"/>
  <c r="L116" i="6"/>
  <c r="P116" i="6"/>
  <c r="S116" i="6"/>
  <c r="W116" i="6"/>
  <c r="K117" i="6"/>
  <c r="L117" i="6"/>
  <c r="P117" i="6"/>
  <c r="S117" i="6"/>
  <c r="W117" i="6"/>
  <c r="K118" i="6"/>
  <c r="L118" i="6"/>
  <c r="P118" i="6"/>
  <c r="S118" i="6"/>
  <c r="W118" i="6"/>
  <c r="K119" i="6"/>
  <c r="L119" i="6"/>
  <c r="P119" i="6"/>
  <c r="S119" i="6"/>
  <c r="W119" i="6"/>
  <c r="K120" i="6"/>
  <c r="L120" i="6"/>
  <c r="P120" i="6"/>
  <c r="S120" i="6"/>
  <c r="W120" i="6"/>
  <c r="K121" i="6"/>
  <c r="L121" i="6"/>
  <c r="P121" i="6"/>
  <c r="S121" i="6"/>
  <c r="W121" i="6"/>
  <c r="K122" i="6"/>
  <c r="L122" i="6"/>
  <c r="P122" i="6"/>
  <c r="S122" i="6"/>
  <c r="W122" i="6"/>
  <c r="K123" i="6"/>
  <c r="L123" i="6"/>
  <c r="P123" i="6"/>
  <c r="S123" i="6"/>
  <c r="W123" i="6"/>
  <c r="K124" i="6"/>
  <c r="L124" i="6"/>
  <c r="P124" i="6"/>
  <c r="S124" i="6"/>
  <c r="W124" i="6"/>
  <c r="K125" i="6"/>
  <c r="L125" i="6"/>
  <c r="P125" i="6"/>
  <c r="S125" i="6"/>
  <c r="W125" i="6"/>
  <c r="K126" i="6"/>
  <c r="L126" i="6"/>
  <c r="P126" i="6"/>
  <c r="S126" i="6"/>
  <c r="W126" i="6"/>
  <c r="K127" i="6"/>
  <c r="L127" i="6"/>
  <c r="P127" i="6"/>
  <c r="S127" i="6"/>
  <c r="W127" i="6"/>
  <c r="K128" i="6"/>
  <c r="L128" i="6"/>
  <c r="P128" i="6"/>
  <c r="S128" i="6"/>
  <c r="W128" i="6"/>
  <c r="K129" i="6"/>
  <c r="L129" i="6"/>
  <c r="P129" i="6"/>
  <c r="S129" i="6"/>
  <c r="W129" i="6"/>
  <c r="H129" i="6" l="1"/>
  <c r="J129" i="6"/>
  <c r="F129" i="6" s="1"/>
  <c r="H121" i="6"/>
  <c r="J121" i="6"/>
  <c r="F121" i="6" s="1"/>
  <c r="H113" i="6"/>
  <c r="J113" i="6"/>
  <c r="F113" i="6" s="1"/>
  <c r="H105" i="6"/>
  <c r="J105" i="6"/>
  <c r="F105" i="6" s="1"/>
  <c r="H97" i="6"/>
  <c r="J97" i="6"/>
  <c r="F97" i="6" s="1"/>
  <c r="H89" i="6"/>
  <c r="J89" i="6"/>
  <c r="F89" i="6" s="1"/>
  <c r="H81" i="6"/>
  <c r="J81" i="6"/>
  <c r="F81" i="6" s="1"/>
  <c r="H73" i="6"/>
  <c r="J73" i="6"/>
  <c r="F73" i="6" s="1"/>
  <c r="H65" i="6"/>
  <c r="J65" i="6"/>
  <c r="F65" i="6" s="1"/>
  <c r="H57" i="6"/>
  <c r="J57" i="6"/>
  <c r="F57" i="6" s="1"/>
  <c r="H49" i="6"/>
  <c r="J49" i="6"/>
  <c r="F49" i="6" s="1"/>
  <c r="H41" i="6"/>
  <c r="J41" i="6"/>
  <c r="F41" i="6" s="1"/>
  <c r="H33" i="6"/>
  <c r="J33" i="6"/>
  <c r="F33" i="6" s="1"/>
  <c r="H25" i="6"/>
  <c r="J25" i="6"/>
  <c r="F25" i="6" s="1"/>
  <c r="H17" i="6"/>
  <c r="J17" i="6"/>
  <c r="F17" i="6" s="1"/>
  <c r="H9" i="6"/>
  <c r="J9" i="6"/>
  <c r="F9" i="6" s="1"/>
  <c r="H123" i="6"/>
  <c r="J123" i="6"/>
  <c r="F123" i="6" s="1"/>
  <c r="H115" i="6"/>
  <c r="J115" i="6"/>
  <c r="F115" i="6" s="1"/>
  <c r="H107" i="6"/>
  <c r="J107" i="6"/>
  <c r="F107" i="6" s="1"/>
  <c r="H99" i="6"/>
  <c r="J99" i="6"/>
  <c r="F99" i="6" s="1"/>
  <c r="H91" i="6"/>
  <c r="J91" i="6"/>
  <c r="F91" i="6" s="1"/>
  <c r="H83" i="6"/>
  <c r="J83" i="6"/>
  <c r="F83" i="6" s="1"/>
  <c r="H75" i="6"/>
  <c r="J75" i="6"/>
  <c r="F75" i="6" s="1"/>
  <c r="H67" i="6"/>
  <c r="J67" i="6"/>
  <c r="F67" i="6" s="1"/>
  <c r="H59" i="6"/>
  <c r="J59" i="6"/>
  <c r="F59" i="6" s="1"/>
  <c r="H51" i="6"/>
  <c r="J51" i="6"/>
  <c r="F51" i="6" s="1"/>
  <c r="H43" i="6"/>
  <c r="J43" i="6"/>
  <c r="F43" i="6" s="1"/>
  <c r="H35" i="6"/>
  <c r="J35" i="6"/>
  <c r="F35" i="6" s="1"/>
  <c r="H27" i="6"/>
  <c r="J27" i="6"/>
  <c r="F27" i="6" s="1"/>
  <c r="H19" i="6"/>
  <c r="J19" i="6"/>
  <c r="F19" i="6" s="1"/>
  <c r="H11" i="6"/>
  <c r="J11" i="6"/>
  <c r="F11" i="6" s="1"/>
  <c r="H3" i="6"/>
  <c r="J3" i="6"/>
  <c r="F3" i="6" s="1"/>
  <c r="H126" i="6"/>
  <c r="J126" i="6"/>
  <c r="F126" i="6" s="1"/>
  <c r="H118" i="6"/>
  <c r="J118" i="6"/>
  <c r="F118" i="6" s="1"/>
  <c r="H110" i="6"/>
  <c r="J110" i="6"/>
  <c r="F110" i="6" s="1"/>
  <c r="H102" i="6"/>
  <c r="J102" i="6"/>
  <c r="F102" i="6" s="1"/>
  <c r="H94" i="6"/>
  <c r="J94" i="6"/>
  <c r="F94" i="6" s="1"/>
  <c r="H86" i="6"/>
  <c r="J86" i="6"/>
  <c r="F86" i="6" s="1"/>
  <c r="H78" i="6"/>
  <c r="J78" i="6"/>
  <c r="F78" i="6" s="1"/>
  <c r="H70" i="6"/>
  <c r="J70" i="6"/>
  <c r="F70" i="6" s="1"/>
  <c r="H62" i="6"/>
  <c r="J62" i="6"/>
  <c r="F62" i="6" s="1"/>
  <c r="H54" i="6"/>
  <c r="J54" i="6"/>
  <c r="F54" i="6" s="1"/>
  <c r="H46" i="6"/>
  <c r="J46" i="6"/>
  <c r="F46" i="6" s="1"/>
  <c r="H38" i="6"/>
  <c r="J38" i="6"/>
  <c r="F38" i="6" s="1"/>
  <c r="H30" i="6"/>
  <c r="J30" i="6"/>
  <c r="F30" i="6" s="1"/>
  <c r="H22" i="6"/>
  <c r="J22" i="6"/>
  <c r="F22" i="6" s="1"/>
  <c r="H14" i="6"/>
  <c r="J14" i="6"/>
  <c r="F14" i="6" s="1"/>
  <c r="H6" i="6"/>
  <c r="J6" i="6"/>
  <c r="F6" i="6" s="1"/>
  <c r="H124" i="6"/>
  <c r="J124" i="6"/>
  <c r="F124" i="6" s="1"/>
  <c r="H116" i="6"/>
  <c r="J116" i="6"/>
  <c r="F116" i="6" s="1"/>
  <c r="H108" i="6"/>
  <c r="J108" i="6"/>
  <c r="F108" i="6" s="1"/>
  <c r="H100" i="6"/>
  <c r="J100" i="6"/>
  <c r="F100" i="6" s="1"/>
  <c r="H92" i="6"/>
  <c r="J92" i="6"/>
  <c r="F92" i="6" s="1"/>
  <c r="H84" i="6"/>
  <c r="J84" i="6"/>
  <c r="F84" i="6" s="1"/>
  <c r="H76" i="6"/>
  <c r="J76" i="6"/>
  <c r="F76" i="6" s="1"/>
  <c r="H68" i="6"/>
  <c r="J68" i="6"/>
  <c r="F68" i="6" s="1"/>
  <c r="H60" i="6"/>
  <c r="J60" i="6"/>
  <c r="F60" i="6" s="1"/>
  <c r="H52" i="6"/>
  <c r="J52" i="6"/>
  <c r="F52" i="6" s="1"/>
  <c r="H44" i="6"/>
  <c r="J44" i="6"/>
  <c r="F44" i="6" s="1"/>
  <c r="H36" i="6"/>
  <c r="J36" i="6"/>
  <c r="F36" i="6" s="1"/>
  <c r="H28" i="6"/>
  <c r="J28" i="6"/>
  <c r="F28" i="6" s="1"/>
  <c r="H20" i="6"/>
  <c r="J20" i="6"/>
  <c r="F20" i="6" s="1"/>
  <c r="H12" i="6"/>
  <c r="J12" i="6"/>
  <c r="F12" i="6" s="1"/>
  <c r="H4" i="6"/>
  <c r="J4" i="6"/>
  <c r="F4" i="6" s="1"/>
  <c r="H127" i="6"/>
  <c r="J127" i="6"/>
  <c r="F127" i="6" s="1"/>
  <c r="H119" i="6"/>
  <c r="J119" i="6"/>
  <c r="F119" i="6" s="1"/>
  <c r="H111" i="6"/>
  <c r="J111" i="6"/>
  <c r="F111" i="6" s="1"/>
  <c r="H103" i="6"/>
  <c r="J103" i="6"/>
  <c r="F103" i="6" s="1"/>
  <c r="H95" i="6"/>
  <c r="J95" i="6"/>
  <c r="F95" i="6" s="1"/>
  <c r="H87" i="6"/>
  <c r="J87" i="6"/>
  <c r="F87" i="6" s="1"/>
  <c r="H79" i="6"/>
  <c r="J79" i="6"/>
  <c r="F79" i="6" s="1"/>
  <c r="H71" i="6"/>
  <c r="J71" i="6"/>
  <c r="F71" i="6" s="1"/>
  <c r="H63" i="6"/>
  <c r="J63" i="6"/>
  <c r="F63" i="6" s="1"/>
  <c r="H55" i="6"/>
  <c r="J55" i="6"/>
  <c r="F55" i="6" s="1"/>
  <c r="H47" i="6"/>
  <c r="J47" i="6"/>
  <c r="F47" i="6" s="1"/>
  <c r="H39" i="6"/>
  <c r="J39" i="6"/>
  <c r="F39" i="6" s="1"/>
  <c r="H31" i="6"/>
  <c r="J31" i="6"/>
  <c r="F31" i="6" s="1"/>
  <c r="H23" i="6"/>
  <c r="J23" i="6"/>
  <c r="F23" i="6" s="1"/>
  <c r="H15" i="6"/>
  <c r="J15" i="6"/>
  <c r="F15" i="6" s="1"/>
  <c r="H7" i="6"/>
  <c r="J7" i="6"/>
  <c r="F7" i="6" s="1"/>
  <c r="H122" i="6"/>
  <c r="J122" i="6"/>
  <c r="F122" i="6" s="1"/>
  <c r="H114" i="6"/>
  <c r="J114" i="6"/>
  <c r="F114" i="6" s="1"/>
  <c r="H106" i="6"/>
  <c r="J106" i="6"/>
  <c r="F106" i="6" s="1"/>
  <c r="H98" i="6"/>
  <c r="J98" i="6"/>
  <c r="F98" i="6" s="1"/>
  <c r="H90" i="6"/>
  <c r="J90" i="6"/>
  <c r="F90" i="6" s="1"/>
  <c r="H82" i="6"/>
  <c r="J82" i="6"/>
  <c r="F82" i="6" s="1"/>
  <c r="H74" i="6"/>
  <c r="J74" i="6"/>
  <c r="F74" i="6" s="1"/>
  <c r="H66" i="6"/>
  <c r="J66" i="6"/>
  <c r="F66" i="6" s="1"/>
  <c r="H58" i="6"/>
  <c r="J58" i="6"/>
  <c r="F58" i="6" s="1"/>
  <c r="H50" i="6"/>
  <c r="J50" i="6"/>
  <c r="F50" i="6" s="1"/>
  <c r="H42" i="6"/>
  <c r="J42" i="6"/>
  <c r="F42" i="6" s="1"/>
  <c r="H34" i="6"/>
  <c r="J34" i="6"/>
  <c r="F34" i="6" s="1"/>
  <c r="H26" i="6"/>
  <c r="J26" i="6"/>
  <c r="F26" i="6" s="1"/>
  <c r="H18" i="6"/>
  <c r="J18" i="6"/>
  <c r="F18" i="6" s="1"/>
  <c r="H10" i="6"/>
  <c r="J10" i="6"/>
  <c r="F10" i="6" s="1"/>
  <c r="H2" i="6"/>
  <c r="J2" i="6"/>
  <c r="F2" i="6" s="1"/>
  <c r="H125" i="6"/>
  <c r="J125" i="6"/>
  <c r="F125" i="6" s="1"/>
  <c r="H117" i="6"/>
  <c r="J117" i="6"/>
  <c r="F117" i="6" s="1"/>
  <c r="H109" i="6"/>
  <c r="J109" i="6"/>
  <c r="F109" i="6" s="1"/>
  <c r="H101" i="6"/>
  <c r="J101" i="6"/>
  <c r="F101" i="6" s="1"/>
  <c r="H93" i="6"/>
  <c r="J93" i="6"/>
  <c r="F93" i="6" s="1"/>
  <c r="H85" i="6"/>
  <c r="J85" i="6"/>
  <c r="F85" i="6" s="1"/>
  <c r="H77" i="6"/>
  <c r="J77" i="6"/>
  <c r="F77" i="6" s="1"/>
  <c r="H69" i="6"/>
  <c r="J69" i="6"/>
  <c r="F69" i="6" s="1"/>
  <c r="H61" i="6"/>
  <c r="J61" i="6"/>
  <c r="F61" i="6" s="1"/>
  <c r="H53" i="6"/>
  <c r="J53" i="6"/>
  <c r="F53" i="6" s="1"/>
  <c r="H45" i="6"/>
  <c r="J45" i="6"/>
  <c r="F45" i="6" s="1"/>
  <c r="H37" i="6"/>
  <c r="J37" i="6"/>
  <c r="F37" i="6" s="1"/>
  <c r="H29" i="6"/>
  <c r="J29" i="6"/>
  <c r="F29" i="6" s="1"/>
  <c r="H21" i="6"/>
  <c r="J21" i="6"/>
  <c r="F21" i="6" s="1"/>
  <c r="H13" i="6"/>
  <c r="J13" i="6"/>
  <c r="F13" i="6" s="1"/>
  <c r="H5" i="6"/>
  <c r="J5" i="6"/>
  <c r="F5" i="6" s="1"/>
  <c r="H128" i="6"/>
  <c r="J128" i="6"/>
  <c r="F128" i="6" s="1"/>
  <c r="H120" i="6"/>
  <c r="J120" i="6"/>
  <c r="F120" i="6" s="1"/>
  <c r="H112" i="6"/>
  <c r="J112" i="6"/>
  <c r="F112" i="6" s="1"/>
  <c r="H104" i="6"/>
  <c r="J104" i="6"/>
  <c r="F104" i="6" s="1"/>
  <c r="H96" i="6"/>
  <c r="J96" i="6"/>
  <c r="F96" i="6" s="1"/>
  <c r="H88" i="6"/>
  <c r="J88" i="6"/>
  <c r="F88" i="6" s="1"/>
  <c r="H80" i="6"/>
  <c r="J80" i="6"/>
  <c r="F80" i="6" s="1"/>
  <c r="H72" i="6"/>
  <c r="J72" i="6"/>
  <c r="F72" i="6" s="1"/>
  <c r="H64" i="6"/>
  <c r="J64" i="6"/>
  <c r="F64" i="6" s="1"/>
  <c r="H56" i="6"/>
  <c r="J56" i="6"/>
  <c r="F56" i="6" s="1"/>
  <c r="H48" i="6"/>
  <c r="J48" i="6"/>
  <c r="F48" i="6" s="1"/>
  <c r="H40" i="6"/>
  <c r="J40" i="6"/>
  <c r="F40" i="6" s="1"/>
  <c r="H32" i="6"/>
  <c r="J32" i="6"/>
  <c r="F32" i="6" s="1"/>
  <c r="H24" i="6"/>
  <c r="J24" i="6"/>
  <c r="F24" i="6" s="1"/>
  <c r="H16" i="6"/>
  <c r="J16" i="6"/>
  <c r="F16" i="6" s="1"/>
  <c r="H8" i="6"/>
  <c r="J8" i="6"/>
  <c r="F8" i="6" s="1"/>
  <c r="AD2" i="7" l="1"/>
  <c r="AD3" i="7"/>
  <c r="AD4" i="7"/>
  <c r="AD5" i="7"/>
  <c r="AD6" i="7"/>
  <c r="AD7" i="7"/>
  <c r="AD8" i="7"/>
  <c r="AD9" i="7"/>
  <c r="AD10" i="7"/>
  <c r="AD11" i="7"/>
  <c r="AD12" i="7"/>
  <c r="AD13" i="7"/>
  <c r="AD14" i="7"/>
  <c r="AD15" i="7"/>
  <c r="AD16" i="7"/>
  <c r="AD17" i="7"/>
  <c r="AD18" i="7"/>
  <c r="AD19" i="7"/>
  <c r="AD20" i="7"/>
  <c r="AD21" i="7"/>
  <c r="AD22" i="7"/>
  <c r="AD23" i="7"/>
  <c r="AD24" i="7"/>
  <c r="AD25" i="7"/>
  <c r="AD26" i="7"/>
  <c r="AD27" i="7"/>
  <c r="AD28" i="7"/>
  <c r="AD29" i="7"/>
  <c r="AD30" i="7"/>
  <c r="AD31" i="7"/>
  <c r="AD32" i="7"/>
  <c r="AD33" i="7"/>
  <c r="AD34" i="7"/>
  <c r="AD35" i="7"/>
  <c r="AD36" i="7"/>
  <c r="AD37" i="7"/>
  <c r="AD38" i="7"/>
  <c r="AD39" i="7"/>
  <c r="AD40" i="7"/>
  <c r="AD41" i="7"/>
  <c r="AD42" i="7"/>
  <c r="AD43" i="7"/>
  <c r="AD44" i="7"/>
  <c r="AD45" i="7"/>
  <c r="AD46" i="7"/>
  <c r="AD47" i="7"/>
  <c r="AD48" i="7"/>
  <c r="AD49" i="7"/>
  <c r="AD50" i="7"/>
  <c r="AD51" i="7"/>
  <c r="AD52" i="7"/>
  <c r="AD53" i="7"/>
  <c r="AD54" i="7"/>
  <c r="AD55" i="7"/>
  <c r="AD56" i="7"/>
  <c r="AD57" i="7"/>
  <c r="AD58" i="7"/>
  <c r="AD59" i="7"/>
  <c r="AD60" i="7"/>
  <c r="AD61" i="7"/>
  <c r="AD62" i="7"/>
  <c r="AD63" i="7"/>
  <c r="AD64" i="7"/>
  <c r="AD65" i="7"/>
  <c r="AD66" i="7"/>
  <c r="AD67" i="7"/>
  <c r="AD68" i="7"/>
  <c r="AD69" i="7"/>
  <c r="AD70" i="7"/>
  <c r="AD71" i="7"/>
  <c r="AD72" i="7"/>
  <c r="AD73" i="7"/>
  <c r="AD74" i="7"/>
  <c r="AD75" i="7"/>
  <c r="AD76" i="7"/>
  <c r="AD77" i="7"/>
  <c r="AD78" i="7"/>
  <c r="AD79" i="7"/>
  <c r="AD80" i="7"/>
  <c r="AD81" i="7"/>
  <c r="AD82" i="7"/>
  <c r="AD83" i="7"/>
  <c r="AD84" i="7"/>
  <c r="AD85" i="7"/>
  <c r="AD86" i="7"/>
  <c r="AD87" i="7"/>
  <c r="AD88" i="7"/>
  <c r="AD89" i="7"/>
  <c r="AD90" i="7"/>
  <c r="AD91" i="7"/>
  <c r="AD92" i="7"/>
  <c r="AD93" i="7"/>
  <c r="AD94" i="7"/>
  <c r="AD95" i="7"/>
  <c r="AD96" i="7"/>
  <c r="AD97" i="7"/>
  <c r="AD98" i="7"/>
  <c r="AD99" i="7"/>
  <c r="AD100" i="7"/>
  <c r="AD101" i="7"/>
  <c r="AD102" i="7"/>
  <c r="AD103" i="7"/>
  <c r="AD104" i="7"/>
  <c r="AD105" i="7"/>
  <c r="AD106" i="7"/>
  <c r="AD107" i="7"/>
  <c r="AD108" i="7"/>
  <c r="AD109" i="7"/>
  <c r="AD110" i="7"/>
  <c r="AD111" i="7"/>
  <c r="AD112" i="7"/>
  <c r="AD113" i="7"/>
  <c r="AD114" i="7"/>
  <c r="AD115" i="7"/>
  <c r="AD116" i="7"/>
  <c r="AD117" i="7"/>
  <c r="AD118" i="7"/>
  <c r="AD119" i="7"/>
  <c r="AD120" i="7"/>
  <c r="AD121" i="7"/>
  <c r="AD122" i="7"/>
  <c r="AD123" i="7"/>
  <c r="AD124" i="7"/>
  <c r="AD125" i="7"/>
  <c r="AD126" i="7"/>
  <c r="AD127" i="7"/>
  <c r="AD128" i="7"/>
  <c r="AD129" i="7"/>
  <c r="G26" i="10"/>
  <c r="G25" i="10"/>
  <c r="G24" i="10"/>
  <c r="G23" i="10"/>
  <c r="G22" i="10"/>
  <c r="G21" i="10"/>
  <c r="G20" i="10"/>
  <c r="G19" i="10"/>
  <c r="G15" i="10"/>
  <c r="G14" i="10"/>
  <c r="G13" i="10"/>
  <c r="G11" i="10"/>
  <c r="G10" i="10"/>
  <c r="G8" i="10"/>
  <c r="G7" i="10"/>
  <c r="G6" i="10"/>
  <c r="C7" i="10"/>
  <c r="C6" i="10"/>
  <c r="C3" i="10"/>
  <c r="G12" i="10" l="1"/>
  <c r="I12" i="10" s="1"/>
  <c r="G36" i="10" s="1"/>
  <c r="I8" i="10"/>
  <c r="I7" i="10"/>
  <c r="I10" i="10"/>
  <c r="I11" i="10"/>
  <c r="I13" i="10"/>
  <c r="I14" i="10"/>
  <c r="I15" i="10"/>
  <c r="I6" i="10"/>
  <c r="G27" i="10"/>
  <c r="I2" i="7"/>
  <c r="I3" i="7"/>
  <c r="I4"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J2" i="7"/>
  <c r="J3" i="7"/>
  <c r="K3" i="7" s="1"/>
  <c r="J4" i="7"/>
  <c r="J5" i="7"/>
  <c r="J6" i="7"/>
  <c r="J7" i="7"/>
  <c r="J8" i="7"/>
  <c r="J9" i="7"/>
  <c r="J10" i="7"/>
  <c r="J11" i="7"/>
  <c r="K11" i="7" s="1"/>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N2" i="7"/>
  <c r="N3" i="7"/>
  <c r="N4" i="7"/>
  <c r="N5" i="7"/>
  <c r="N6" i="7"/>
  <c r="N7" i="7"/>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0" i="7"/>
  <c r="N61" i="7"/>
  <c r="N62" i="7"/>
  <c r="N63" i="7"/>
  <c r="N64" i="7"/>
  <c r="N65" i="7"/>
  <c r="N66" i="7"/>
  <c r="N67" i="7"/>
  <c r="N68" i="7"/>
  <c r="N69" i="7"/>
  <c r="N70" i="7"/>
  <c r="N71" i="7"/>
  <c r="N72" i="7"/>
  <c r="N73" i="7"/>
  <c r="N74" i="7"/>
  <c r="N75" i="7"/>
  <c r="N76" i="7"/>
  <c r="N77" i="7"/>
  <c r="N78" i="7"/>
  <c r="N79" i="7"/>
  <c r="N80" i="7"/>
  <c r="N81" i="7"/>
  <c r="N82" i="7"/>
  <c r="N83" i="7"/>
  <c r="N84" i="7"/>
  <c r="N85" i="7"/>
  <c r="N86" i="7"/>
  <c r="N87" i="7"/>
  <c r="N88" i="7"/>
  <c r="N89" i="7"/>
  <c r="N90" i="7"/>
  <c r="N91" i="7"/>
  <c r="N92" i="7"/>
  <c r="N93" i="7"/>
  <c r="N94" i="7"/>
  <c r="N95" i="7"/>
  <c r="N96" i="7"/>
  <c r="N97" i="7"/>
  <c r="N98" i="7"/>
  <c r="N99" i="7"/>
  <c r="N100" i="7"/>
  <c r="N101" i="7"/>
  <c r="N102" i="7"/>
  <c r="N103" i="7"/>
  <c r="N104" i="7"/>
  <c r="N105" i="7"/>
  <c r="N106" i="7"/>
  <c r="N107" i="7"/>
  <c r="N108" i="7"/>
  <c r="N109" i="7"/>
  <c r="N110" i="7"/>
  <c r="N111" i="7"/>
  <c r="N112" i="7"/>
  <c r="N113" i="7"/>
  <c r="N114" i="7"/>
  <c r="N115" i="7"/>
  <c r="N116" i="7"/>
  <c r="N117" i="7"/>
  <c r="N118" i="7"/>
  <c r="N119" i="7"/>
  <c r="N120" i="7"/>
  <c r="N121" i="7"/>
  <c r="N122" i="7"/>
  <c r="N123" i="7"/>
  <c r="N124" i="7"/>
  <c r="N125" i="7"/>
  <c r="N126" i="7"/>
  <c r="N127" i="7"/>
  <c r="N128" i="7"/>
  <c r="N129" i="7"/>
  <c r="Q2" i="7"/>
  <c r="Q3" i="7"/>
  <c r="Q4" i="7"/>
  <c r="Q5" i="7"/>
  <c r="Q6" i="7"/>
  <c r="K6" i="7" s="1"/>
  <c r="Q7" i="7"/>
  <c r="Q8" i="7"/>
  <c r="Q9" i="7"/>
  <c r="Q10" i="7"/>
  <c r="Q11" i="7"/>
  <c r="Q12" i="7"/>
  <c r="Q15" i="7"/>
  <c r="Q16" i="7"/>
  <c r="Q17" i="7"/>
  <c r="Q18" i="7"/>
  <c r="Q19" i="7"/>
  <c r="Q20" i="7"/>
  <c r="Q21" i="7"/>
  <c r="Q22" i="7"/>
  <c r="Q23" i="7"/>
  <c r="Q24" i="7"/>
  <c r="Q25" i="7"/>
  <c r="Q26" i="7"/>
  <c r="Q27" i="7"/>
  <c r="Q29" i="7"/>
  <c r="Q30" i="7"/>
  <c r="Q32" i="7"/>
  <c r="Q33" i="7"/>
  <c r="Q34" i="7"/>
  <c r="Q35" i="7"/>
  <c r="Q36" i="7"/>
  <c r="Q38" i="7"/>
  <c r="Q39" i="7"/>
  <c r="Q40" i="7"/>
  <c r="Q41" i="7"/>
  <c r="Q42" i="7"/>
  <c r="Q43" i="7"/>
  <c r="Q44" i="7"/>
  <c r="Q45" i="7"/>
  <c r="Q46" i="7"/>
  <c r="Q47" i="7"/>
  <c r="Q50" i="7"/>
  <c r="Q51" i="7"/>
  <c r="Q52" i="7"/>
  <c r="Q53" i="7"/>
  <c r="Q54" i="7"/>
  <c r="Q55" i="7"/>
  <c r="Q56" i="7"/>
  <c r="Q57" i="7"/>
  <c r="Q58" i="7"/>
  <c r="Q59" i="7"/>
  <c r="Q60" i="7"/>
  <c r="Q61" i="7"/>
  <c r="Q62" i="7"/>
  <c r="Q63" i="7"/>
  <c r="Q64" i="7"/>
  <c r="Q65" i="7"/>
  <c r="Q66" i="7"/>
  <c r="Q67" i="7"/>
  <c r="Q68" i="7"/>
  <c r="Q70" i="7"/>
  <c r="Q71" i="7"/>
  <c r="Q72" i="7"/>
  <c r="Q73" i="7"/>
  <c r="Q74" i="7"/>
  <c r="Q75" i="7"/>
  <c r="Q76" i="7"/>
  <c r="Q77" i="7"/>
  <c r="Q78" i="7"/>
  <c r="Q79" i="7"/>
  <c r="Q81" i="7"/>
  <c r="Q82" i="7"/>
  <c r="Q83" i="7"/>
  <c r="Q84" i="7"/>
  <c r="Q85" i="7"/>
  <c r="Q87" i="7"/>
  <c r="Q88" i="7"/>
  <c r="Q89" i="7"/>
  <c r="Q90" i="7"/>
  <c r="Q91" i="7"/>
  <c r="Q94" i="7"/>
  <c r="Q95" i="7"/>
  <c r="Q96" i="7"/>
  <c r="Q97" i="7"/>
  <c r="Q99" i="7"/>
  <c r="Q100" i="7"/>
  <c r="Q101" i="7"/>
  <c r="Q102" i="7"/>
  <c r="Q103" i="7"/>
  <c r="Q104" i="7"/>
  <c r="Q106" i="7"/>
  <c r="Q107" i="7"/>
  <c r="Q108" i="7"/>
  <c r="Q109" i="7"/>
  <c r="Q110" i="7"/>
  <c r="Q111" i="7"/>
  <c r="Q112" i="7"/>
  <c r="Q113" i="7"/>
  <c r="Q115" i="7"/>
  <c r="Q117" i="7"/>
  <c r="Q118" i="7"/>
  <c r="Q119" i="7"/>
  <c r="Q120" i="7"/>
  <c r="Q121" i="7"/>
  <c r="Q122" i="7"/>
  <c r="Q123" i="7"/>
  <c r="Q124" i="7"/>
  <c r="Q125" i="7"/>
  <c r="Q127" i="7"/>
  <c r="Q128" i="7"/>
  <c r="Q129" i="7"/>
  <c r="T2" i="7"/>
  <c r="T3" i="7"/>
  <c r="T5" i="7"/>
  <c r="T6" i="7"/>
  <c r="T7" i="7"/>
  <c r="T8" i="7"/>
  <c r="T9" i="7"/>
  <c r="T10" i="7"/>
  <c r="T11" i="7"/>
  <c r="T12" i="7"/>
  <c r="T13" i="7"/>
  <c r="T14" i="7"/>
  <c r="T15" i="7"/>
  <c r="T16" i="7"/>
  <c r="T17" i="7"/>
  <c r="T18" i="7"/>
  <c r="T19" i="7"/>
  <c r="T20" i="7"/>
  <c r="T21" i="7"/>
  <c r="T22" i="7"/>
  <c r="T23" i="7"/>
  <c r="T24" i="7"/>
  <c r="T25" i="7"/>
  <c r="T26" i="7"/>
  <c r="T27" i="7"/>
  <c r="T28" i="7"/>
  <c r="T29" i="7"/>
  <c r="T30" i="7"/>
  <c r="T31" i="7"/>
  <c r="T32" i="7"/>
  <c r="T33" i="7"/>
  <c r="T34" i="7"/>
  <c r="T35" i="7"/>
  <c r="T36" i="7"/>
  <c r="T37" i="7"/>
  <c r="T38" i="7"/>
  <c r="T39" i="7"/>
  <c r="T40" i="7"/>
  <c r="T41" i="7"/>
  <c r="T42" i="7"/>
  <c r="T43" i="7"/>
  <c r="T44" i="7"/>
  <c r="T45" i="7"/>
  <c r="T46" i="7"/>
  <c r="T47" i="7"/>
  <c r="T48" i="7"/>
  <c r="T49" i="7"/>
  <c r="T50" i="7"/>
  <c r="T51" i="7"/>
  <c r="T52" i="7"/>
  <c r="T54" i="7"/>
  <c r="T55" i="7"/>
  <c r="T56" i="7"/>
  <c r="T57" i="7"/>
  <c r="T58" i="7"/>
  <c r="T59" i="7"/>
  <c r="T60" i="7"/>
  <c r="T61" i="7"/>
  <c r="T62" i="7"/>
  <c r="T63" i="7"/>
  <c r="T64" i="7"/>
  <c r="T65" i="7"/>
  <c r="T66" i="7"/>
  <c r="T67" i="7"/>
  <c r="T68" i="7"/>
  <c r="T69" i="7"/>
  <c r="T70" i="7"/>
  <c r="T71" i="7"/>
  <c r="T72" i="7"/>
  <c r="T73" i="7"/>
  <c r="T74" i="7"/>
  <c r="T75" i="7"/>
  <c r="T76" i="7"/>
  <c r="T77" i="7"/>
  <c r="T78" i="7"/>
  <c r="T79" i="7"/>
  <c r="T80" i="7"/>
  <c r="T81" i="7"/>
  <c r="T82" i="7"/>
  <c r="T83" i="7"/>
  <c r="T84" i="7"/>
  <c r="T85" i="7"/>
  <c r="T86" i="7"/>
  <c r="T87" i="7"/>
  <c r="T88" i="7"/>
  <c r="T89" i="7"/>
  <c r="T90" i="7"/>
  <c r="T91" i="7"/>
  <c r="T92" i="7"/>
  <c r="T93" i="7"/>
  <c r="T94" i="7"/>
  <c r="T95" i="7"/>
  <c r="T96" i="7"/>
  <c r="T97" i="7"/>
  <c r="T98" i="7"/>
  <c r="T99" i="7"/>
  <c r="T100" i="7"/>
  <c r="T101" i="7"/>
  <c r="T102" i="7"/>
  <c r="T103" i="7"/>
  <c r="T104" i="7"/>
  <c r="T105" i="7"/>
  <c r="T106" i="7"/>
  <c r="T107" i="7"/>
  <c r="T108" i="7"/>
  <c r="T109" i="7"/>
  <c r="T110" i="7"/>
  <c r="T111" i="7"/>
  <c r="T112" i="7"/>
  <c r="T113" i="7"/>
  <c r="T114" i="7"/>
  <c r="T115" i="7"/>
  <c r="T116" i="7"/>
  <c r="T117" i="7"/>
  <c r="T118" i="7"/>
  <c r="T119" i="7"/>
  <c r="T120" i="7"/>
  <c r="T121" i="7"/>
  <c r="T122" i="7"/>
  <c r="T123" i="7"/>
  <c r="T124" i="7"/>
  <c r="T126" i="7"/>
  <c r="T128" i="7"/>
  <c r="U2" i="7"/>
  <c r="U3" i="7"/>
  <c r="U4" i="7"/>
  <c r="U5" i="7"/>
  <c r="U6" i="7"/>
  <c r="U7" i="7"/>
  <c r="U8" i="7"/>
  <c r="U9" i="7"/>
  <c r="U10" i="7"/>
  <c r="U11" i="7"/>
  <c r="U12" i="7"/>
  <c r="U13" i="7"/>
  <c r="U14" i="7"/>
  <c r="U15" i="7"/>
  <c r="U16" i="7"/>
  <c r="U17" i="7"/>
  <c r="U18" i="7"/>
  <c r="U19" i="7"/>
  <c r="U20" i="7"/>
  <c r="U21" i="7"/>
  <c r="U22" i="7"/>
  <c r="U23" i="7"/>
  <c r="U24" i="7"/>
  <c r="U25" i="7"/>
  <c r="U26" i="7"/>
  <c r="U27" i="7"/>
  <c r="U28" i="7"/>
  <c r="U29" i="7"/>
  <c r="U30" i="7"/>
  <c r="U31" i="7"/>
  <c r="U32" i="7"/>
  <c r="U33" i="7"/>
  <c r="U34" i="7"/>
  <c r="U35" i="7"/>
  <c r="U36" i="7"/>
  <c r="U37" i="7"/>
  <c r="U38" i="7"/>
  <c r="U39" i="7"/>
  <c r="U40" i="7"/>
  <c r="U41" i="7"/>
  <c r="U42" i="7"/>
  <c r="U43" i="7"/>
  <c r="U44" i="7"/>
  <c r="U45" i="7"/>
  <c r="U46" i="7"/>
  <c r="U47" i="7"/>
  <c r="U48" i="7"/>
  <c r="U49" i="7"/>
  <c r="U50" i="7"/>
  <c r="U51" i="7"/>
  <c r="U52" i="7"/>
  <c r="U53" i="7"/>
  <c r="U54" i="7"/>
  <c r="U55" i="7"/>
  <c r="U56" i="7"/>
  <c r="U57" i="7"/>
  <c r="U58" i="7"/>
  <c r="U59" i="7"/>
  <c r="U60" i="7"/>
  <c r="U61" i="7"/>
  <c r="U62" i="7"/>
  <c r="U63" i="7"/>
  <c r="U64" i="7"/>
  <c r="U65" i="7"/>
  <c r="U66" i="7"/>
  <c r="U67" i="7"/>
  <c r="U68" i="7"/>
  <c r="U69" i="7"/>
  <c r="U70" i="7"/>
  <c r="U71" i="7"/>
  <c r="U72" i="7"/>
  <c r="U73" i="7"/>
  <c r="U74" i="7"/>
  <c r="U75" i="7"/>
  <c r="U76" i="7"/>
  <c r="U77" i="7"/>
  <c r="U78" i="7"/>
  <c r="U79" i="7"/>
  <c r="U80" i="7"/>
  <c r="U81" i="7"/>
  <c r="U82" i="7"/>
  <c r="U83" i="7"/>
  <c r="U84" i="7"/>
  <c r="U85" i="7"/>
  <c r="U86" i="7"/>
  <c r="U87" i="7"/>
  <c r="U88" i="7"/>
  <c r="U89" i="7"/>
  <c r="U90" i="7"/>
  <c r="U91" i="7"/>
  <c r="U92" i="7"/>
  <c r="U93" i="7"/>
  <c r="U94" i="7"/>
  <c r="U95" i="7"/>
  <c r="U96" i="7"/>
  <c r="U97" i="7"/>
  <c r="U98" i="7"/>
  <c r="U99" i="7"/>
  <c r="U100" i="7"/>
  <c r="U101" i="7"/>
  <c r="U102" i="7"/>
  <c r="U103" i="7"/>
  <c r="U104" i="7"/>
  <c r="U105" i="7"/>
  <c r="U106" i="7"/>
  <c r="U107" i="7"/>
  <c r="U108" i="7"/>
  <c r="U109" i="7"/>
  <c r="U110" i="7"/>
  <c r="U111" i="7"/>
  <c r="U112" i="7"/>
  <c r="U113" i="7"/>
  <c r="U114" i="7"/>
  <c r="U115" i="7"/>
  <c r="U116" i="7"/>
  <c r="U117" i="7"/>
  <c r="U118" i="7"/>
  <c r="U119" i="7"/>
  <c r="U120" i="7"/>
  <c r="U121" i="7"/>
  <c r="U122" i="7"/>
  <c r="U123" i="7"/>
  <c r="U124" i="7"/>
  <c r="U125" i="7"/>
  <c r="U126" i="7"/>
  <c r="U127" i="7"/>
  <c r="U128" i="7"/>
  <c r="U129" i="7"/>
  <c r="AO2" i="7"/>
  <c r="AO3" i="7"/>
  <c r="AO4" i="7"/>
  <c r="AO5" i="7"/>
  <c r="AO6" i="7"/>
  <c r="AO7" i="7"/>
  <c r="AO8" i="7"/>
  <c r="AO9" i="7"/>
  <c r="AO10" i="7"/>
  <c r="AO11" i="7"/>
  <c r="AO12" i="7"/>
  <c r="AO13" i="7"/>
  <c r="AO14" i="7"/>
  <c r="AO15" i="7"/>
  <c r="AO16" i="7"/>
  <c r="AO17" i="7"/>
  <c r="AO19" i="7"/>
  <c r="AO20" i="7"/>
  <c r="AO22" i="7"/>
  <c r="AO23" i="7"/>
  <c r="AO24" i="7"/>
  <c r="AO25" i="7"/>
  <c r="AO26" i="7"/>
  <c r="AO27" i="7"/>
  <c r="AO28" i="7"/>
  <c r="AO29" i="7"/>
  <c r="AO30" i="7"/>
  <c r="AO32" i="7"/>
  <c r="AO33" i="7"/>
  <c r="AO34" i="7"/>
  <c r="AO36" i="7"/>
  <c r="AO37" i="7"/>
  <c r="AO38" i="7"/>
  <c r="AO39" i="7"/>
  <c r="AO40" i="7"/>
  <c r="AO41" i="7"/>
  <c r="AO42" i="7"/>
  <c r="AO43" i="7"/>
  <c r="AO44" i="7"/>
  <c r="AO45" i="7"/>
  <c r="AO46" i="7"/>
  <c r="AO47" i="7"/>
  <c r="AO48" i="7"/>
  <c r="AO50" i="7"/>
  <c r="AO51" i="7"/>
  <c r="AO52" i="7"/>
  <c r="AO53" i="7"/>
  <c r="AO54" i="7"/>
  <c r="AO55" i="7"/>
  <c r="AO57" i="7"/>
  <c r="AO59" i="7"/>
  <c r="AO60" i="7"/>
  <c r="AO61" i="7"/>
  <c r="AO62" i="7"/>
  <c r="AO63" i="7"/>
  <c r="AO64" i="7"/>
  <c r="AO65" i="7"/>
  <c r="AO66" i="7"/>
  <c r="AO68" i="7"/>
  <c r="AO69" i="7"/>
  <c r="AO70" i="7"/>
  <c r="AO71" i="7"/>
  <c r="AO73" i="7"/>
  <c r="AO74" i="7"/>
  <c r="AO76" i="7"/>
  <c r="AO77" i="7"/>
  <c r="AO79" i="7"/>
  <c r="AO80" i="7"/>
  <c r="AO81" i="7"/>
  <c r="AO82" i="7"/>
  <c r="AO83" i="7"/>
  <c r="AO84" i="7"/>
  <c r="AO85" i="7"/>
  <c r="AO87" i="7"/>
  <c r="AO88" i="7"/>
  <c r="AO89" i="7"/>
  <c r="AO90" i="7"/>
  <c r="AO91" i="7"/>
  <c r="AO92" i="7"/>
  <c r="AO93" i="7"/>
  <c r="AO95" i="7"/>
  <c r="AO96" i="7"/>
  <c r="AO98" i="7"/>
  <c r="AO99" i="7"/>
  <c r="AO100" i="7"/>
  <c r="AO101" i="7"/>
  <c r="AO102" i="7"/>
  <c r="AO103" i="7"/>
  <c r="AO104" i="7"/>
  <c r="AO106" i="7"/>
  <c r="AO107" i="7"/>
  <c r="AO108" i="7"/>
  <c r="AO109" i="7"/>
  <c r="AO110" i="7"/>
  <c r="AO111" i="7"/>
  <c r="AO113" i="7"/>
  <c r="AO114" i="7"/>
  <c r="AO115" i="7"/>
  <c r="AO116" i="7"/>
  <c r="AO117" i="7"/>
  <c r="AO120" i="7"/>
  <c r="AO121" i="7"/>
  <c r="AO122" i="7"/>
  <c r="AO123" i="7"/>
  <c r="AO125" i="7"/>
  <c r="AO127" i="7"/>
  <c r="AO128" i="7"/>
  <c r="AO129" i="7"/>
  <c r="AL5" i="7"/>
  <c r="AL6" i="7"/>
  <c r="AL7" i="7"/>
  <c r="AL8" i="7"/>
  <c r="AL9" i="7"/>
  <c r="AL11" i="7"/>
  <c r="AL12" i="7"/>
  <c r="AL15" i="7"/>
  <c r="AL16" i="7"/>
  <c r="AL17" i="7"/>
  <c r="AL19" i="7"/>
  <c r="AL20" i="7"/>
  <c r="AL22" i="7"/>
  <c r="AL23" i="7"/>
  <c r="AL24" i="7"/>
  <c r="AL26" i="7"/>
  <c r="AL27" i="7"/>
  <c r="AL29" i="7"/>
  <c r="AL32" i="7"/>
  <c r="AL34" i="7"/>
  <c r="AL38" i="7"/>
  <c r="AL39" i="7"/>
  <c r="AL40" i="7"/>
  <c r="AL41" i="7"/>
  <c r="AL42" i="7"/>
  <c r="AL43" i="7"/>
  <c r="AL44" i="7"/>
  <c r="AL47" i="7"/>
  <c r="AL48" i="7"/>
  <c r="AL50" i="7"/>
  <c r="AL51" i="7"/>
  <c r="AL52" i="7"/>
  <c r="AL53" i="7"/>
  <c r="AL55" i="7"/>
  <c r="AL56" i="7"/>
  <c r="AL57" i="7"/>
  <c r="AL58" i="7"/>
  <c r="AL59" i="7"/>
  <c r="AL60" i="7"/>
  <c r="AL61" i="7"/>
  <c r="AL62" i="7"/>
  <c r="AL64" i="7"/>
  <c r="AL65" i="7"/>
  <c r="AL66" i="7"/>
  <c r="AL68" i="7"/>
  <c r="AL69" i="7"/>
  <c r="AL70" i="7"/>
  <c r="AL73" i="7"/>
  <c r="AL75" i="7"/>
  <c r="AL76" i="7"/>
  <c r="AL77" i="7"/>
  <c r="AL79" i="7"/>
  <c r="AL80" i="7"/>
  <c r="AL82" i="7"/>
  <c r="AL83" i="7"/>
  <c r="AL84" i="7"/>
  <c r="AL88" i="7"/>
  <c r="AL91" i="7"/>
  <c r="AL93" i="7"/>
  <c r="AL94" i="7"/>
  <c r="AL99" i="7"/>
  <c r="AL101" i="7"/>
  <c r="AL102" i="7"/>
  <c r="AL106" i="7"/>
  <c r="AL109" i="7"/>
  <c r="AL111" i="7"/>
  <c r="AL113" i="7"/>
  <c r="AL114" i="7"/>
  <c r="AL117" i="7"/>
  <c r="AL118" i="7"/>
  <c r="AL123" i="7"/>
  <c r="AL127" i="7"/>
  <c r="AL129" i="7"/>
  <c r="AI2" i="7"/>
  <c r="AI3" i="7"/>
  <c r="AI4" i="7"/>
  <c r="AI5" i="7"/>
  <c r="AI6" i="7"/>
  <c r="AI7" i="7"/>
  <c r="AI8" i="7"/>
  <c r="AI9" i="7"/>
  <c r="AI10" i="7"/>
  <c r="AI11" i="7"/>
  <c r="AI12" i="7"/>
  <c r="AI13" i="7"/>
  <c r="AI14" i="7"/>
  <c r="AI15" i="7"/>
  <c r="AI16" i="7"/>
  <c r="AI17" i="7"/>
  <c r="AI18" i="7"/>
  <c r="AI19" i="7"/>
  <c r="AI20" i="7"/>
  <c r="AI21" i="7"/>
  <c r="AI22" i="7"/>
  <c r="AI23" i="7"/>
  <c r="AI24" i="7"/>
  <c r="AI25" i="7"/>
  <c r="AI26" i="7"/>
  <c r="AI27" i="7"/>
  <c r="AI28" i="7"/>
  <c r="AI29" i="7"/>
  <c r="AI30" i="7"/>
  <c r="AI31" i="7"/>
  <c r="AI32" i="7"/>
  <c r="AI33" i="7"/>
  <c r="AI34" i="7"/>
  <c r="AI35" i="7"/>
  <c r="AI36" i="7"/>
  <c r="AI37" i="7"/>
  <c r="AI38" i="7"/>
  <c r="AI39" i="7"/>
  <c r="AI40" i="7"/>
  <c r="AI41" i="7"/>
  <c r="AI42" i="7"/>
  <c r="AI43" i="7"/>
  <c r="AI44" i="7"/>
  <c r="AI45" i="7"/>
  <c r="AI46" i="7"/>
  <c r="AI47" i="7"/>
  <c r="AI48" i="7"/>
  <c r="AI49" i="7"/>
  <c r="AI50" i="7"/>
  <c r="AI51" i="7"/>
  <c r="AI52" i="7"/>
  <c r="AI53" i="7"/>
  <c r="AI54" i="7"/>
  <c r="AI55" i="7"/>
  <c r="AI56" i="7"/>
  <c r="AI57" i="7"/>
  <c r="AI58" i="7"/>
  <c r="AI59" i="7"/>
  <c r="AI60" i="7"/>
  <c r="AI61" i="7"/>
  <c r="AI62" i="7"/>
  <c r="AI63" i="7"/>
  <c r="AI64" i="7"/>
  <c r="AI65" i="7"/>
  <c r="AI66" i="7"/>
  <c r="AI67" i="7"/>
  <c r="AI68" i="7"/>
  <c r="AI69" i="7"/>
  <c r="AI70" i="7"/>
  <c r="AI71" i="7"/>
  <c r="AI72" i="7"/>
  <c r="AI73" i="7"/>
  <c r="AI74" i="7"/>
  <c r="AI75" i="7"/>
  <c r="AI76" i="7"/>
  <c r="AI77" i="7"/>
  <c r="AI78" i="7"/>
  <c r="AI79" i="7"/>
  <c r="AI80" i="7"/>
  <c r="AI81" i="7"/>
  <c r="AI82" i="7"/>
  <c r="AI83" i="7"/>
  <c r="AI84" i="7"/>
  <c r="AI85" i="7"/>
  <c r="AI86" i="7"/>
  <c r="AI87" i="7"/>
  <c r="AI88" i="7"/>
  <c r="AI89" i="7"/>
  <c r="AI90" i="7"/>
  <c r="AI91" i="7"/>
  <c r="AI92" i="7"/>
  <c r="AI93" i="7"/>
  <c r="AI94" i="7"/>
  <c r="AI95" i="7"/>
  <c r="AI96" i="7"/>
  <c r="AI97" i="7"/>
  <c r="AI98" i="7"/>
  <c r="AI99" i="7"/>
  <c r="AI100" i="7"/>
  <c r="AI101" i="7"/>
  <c r="AI102" i="7"/>
  <c r="AI103" i="7"/>
  <c r="AI104" i="7"/>
  <c r="AI105" i="7"/>
  <c r="AI106" i="7"/>
  <c r="AI107" i="7"/>
  <c r="AI108" i="7"/>
  <c r="AI109" i="7"/>
  <c r="AI110" i="7"/>
  <c r="AI111" i="7"/>
  <c r="AI112" i="7"/>
  <c r="AI113" i="7"/>
  <c r="AI114" i="7"/>
  <c r="AI115" i="7"/>
  <c r="AI116" i="7"/>
  <c r="AI117" i="7"/>
  <c r="AI118" i="7"/>
  <c r="AI119" i="7"/>
  <c r="AI120" i="7"/>
  <c r="AI121" i="7"/>
  <c r="AI122" i="7"/>
  <c r="AI123" i="7"/>
  <c r="AI124" i="7"/>
  <c r="AI125" i="7"/>
  <c r="AI126" i="7"/>
  <c r="AI127" i="7"/>
  <c r="AI128" i="7"/>
  <c r="AI129" i="7"/>
  <c r="AE2" i="7"/>
  <c r="AE3" i="7"/>
  <c r="AE4" i="7"/>
  <c r="AE5" i="7"/>
  <c r="AE6"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AE85" i="7"/>
  <c r="AE86" i="7"/>
  <c r="AE87" i="7"/>
  <c r="AE88" i="7"/>
  <c r="AE89" i="7"/>
  <c r="AE90" i="7"/>
  <c r="AE91" i="7"/>
  <c r="AE92" i="7"/>
  <c r="AE93" i="7"/>
  <c r="AE94" i="7"/>
  <c r="AE95" i="7"/>
  <c r="AE96" i="7"/>
  <c r="AE97" i="7"/>
  <c r="AE98" i="7"/>
  <c r="AE99" i="7"/>
  <c r="AE100" i="7"/>
  <c r="AE101" i="7"/>
  <c r="AE102" i="7"/>
  <c r="AE103" i="7"/>
  <c r="AE104" i="7"/>
  <c r="AE105" i="7"/>
  <c r="AE106" i="7"/>
  <c r="AE107" i="7"/>
  <c r="AE108" i="7"/>
  <c r="AE109" i="7"/>
  <c r="AE110" i="7"/>
  <c r="AE111" i="7"/>
  <c r="AE112" i="7"/>
  <c r="AE113" i="7"/>
  <c r="AE114" i="7"/>
  <c r="AE115" i="7"/>
  <c r="AE116" i="7"/>
  <c r="AE117" i="7"/>
  <c r="AE118" i="7"/>
  <c r="AE119" i="7"/>
  <c r="AE120" i="7"/>
  <c r="AE121" i="7"/>
  <c r="AE122" i="7"/>
  <c r="AE123" i="7"/>
  <c r="AE124" i="7"/>
  <c r="AE125" i="7"/>
  <c r="AE126" i="7"/>
  <c r="AE127" i="7"/>
  <c r="AE128" i="7"/>
  <c r="AE129" i="7"/>
  <c r="AC4" i="7"/>
  <c r="AC6" i="7"/>
  <c r="AC7" i="7"/>
  <c r="AC8" i="7"/>
  <c r="AC9" i="7"/>
  <c r="AC10" i="7"/>
  <c r="AC13" i="7"/>
  <c r="AC14" i="7"/>
  <c r="AC15" i="7"/>
  <c r="AC17" i="7"/>
  <c r="AC18" i="7"/>
  <c r="AC19" i="7"/>
  <c r="AC20" i="7"/>
  <c r="AC21" i="7"/>
  <c r="AC22" i="7"/>
  <c r="AC23" i="7"/>
  <c r="AC24" i="7"/>
  <c r="AC27" i="7"/>
  <c r="AC29" i="7"/>
  <c r="AC31" i="7"/>
  <c r="AC34" i="7"/>
  <c r="AC37" i="7"/>
  <c r="AC38" i="7"/>
  <c r="AC39" i="7"/>
  <c r="AC40" i="7"/>
  <c r="AC41" i="7"/>
  <c r="AC42" i="7"/>
  <c r="AC43" i="7"/>
  <c r="AC44" i="7"/>
  <c r="AC45" i="7"/>
  <c r="AC51" i="7"/>
  <c r="AC53" i="7"/>
  <c r="AC55" i="7"/>
  <c r="AC56" i="7"/>
  <c r="AC57" i="7"/>
  <c r="AC59" i="7"/>
  <c r="AC60" i="7"/>
  <c r="AC61" i="7"/>
  <c r="AC62" i="7"/>
  <c r="AC63" i="7"/>
  <c r="AC65" i="7"/>
  <c r="AC66" i="7"/>
  <c r="AC71" i="7"/>
  <c r="AC76" i="7"/>
  <c r="AC81" i="7"/>
  <c r="AC82" i="7"/>
  <c r="AC83" i="7"/>
  <c r="AC84" i="7"/>
  <c r="AC85" i="7"/>
  <c r="AC87" i="7"/>
  <c r="AC91" i="7"/>
  <c r="AC94" i="7"/>
  <c r="AC95" i="7"/>
  <c r="AC97" i="7"/>
  <c r="AC98" i="7"/>
  <c r="AC99" i="7"/>
  <c r="AC101" i="7"/>
  <c r="AC103" i="7"/>
  <c r="AC104" i="7"/>
  <c r="AC107" i="7"/>
  <c r="AC109" i="7"/>
  <c r="AC110" i="7"/>
  <c r="AC114" i="7"/>
  <c r="AC116" i="7"/>
  <c r="AC117" i="7"/>
  <c r="AC119" i="7"/>
  <c r="AC120" i="7"/>
  <c r="AC124" i="7"/>
  <c r="AC126" i="7"/>
  <c r="AC129" i="7"/>
  <c r="Z2" i="7"/>
  <c r="Z3" i="7"/>
  <c r="Z4" i="7"/>
  <c r="Z5" i="7"/>
  <c r="Z6" i="7"/>
  <c r="Z7" i="7"/>
  <c r="Z8" i="7"/>
  <c r="Z9" i="7"/>
  <c r="Z10" i="7"/>
  <c r="Z11" i="7"/>
  <c r="Z12" i="7"/>
  <c r="Z13" i="7"/>
  <c r="Z14" i="7"/>
  <c r="Z15" i="7"/>
  <c r="Z16" i="7"/>
  <c r="Z17" i="7"/>
  <c r="Z18" i="7"/>
  <c r="Z19" i="7"/>
  <c r="Z20" i="7"/>
  <c r="Z22" i="7"/>
  <c r="Z23" i="7"/>
  <c r="Z24" i="7"/>
  <c r="Z25" i="7"/>
  <c r="Z26" i="7"/>
  <c r="Z27" i="7"/>
  <c r="Z28" i="7"/>
  <c r="Z29" i="7"/>
  <c r="Z30" i="7"/>
  <c r="Z31" i="7"/>
  <c r="Z32" i="7"/>
  <c r="Z33" i="7"/>
  <c r="Z34" i="7"/>
  <c r="Z35" i="7"/>
  <c r="Z36" i="7"/>
  <c r="Z37" i="7"/>
  <c r="Z38" i="7"/>
  <c r="Z39" i="7"/>
  <c r="Z40" i="7"/>
  <c r="Z41" i="7"/>
  <c r="Z42" i="7"/>
  <c r="Z43" i="7"/>
  <c r="Z44" i="7"/>
  <c r="Z45" i="7"/>
  <c r="Z46" i="7"/>
  <c r="Z47" i="7"/>
  <c r="Z48" i="7"/>
  <c r="Z49" i="7"/>
  <c r="Z50" i="7"/>
  <c r="Z51" i="7"/>
  <c r="Z52" i="7"/>
  <c r="Z53" i="7"/>
  <c r="Z54" i="7"/>
  <c r="Z55" i="7"/>
  <c r="Z56" i="7"/>
  <c r="Z57" i="7"/>
  <c r="Z58" i="7"/>
  <c r="Z59" i="7"/>
  <c r="Z60" i="7"/>
  <c r="Z61" i="7"/>
  <c r="Z62" i="7"/>
  <c r="Z63" i="7"/>
  <c r="Z64" i="7"/>
  <c r="Z65" i="7"/>
  <c r="Z66" i="7"/>
  <c r="Z67" i="7"/>
  <c r="Z68" i="7"/>
  <c r="Z69" i="7"/>
  <c r="Z70" i="7"/>
  <c r="Z71" i="7"/>
  <c r="Z72" i="7"/>
  <c r="Z73" i="7"/>
  <c r="Z74" i="7"/>
  <c r="Z75" i="7"/>
  <c r="Z76" i="7"/>
  <c r="Z77" i="7"/>
  <c r="Z78" i="7"/>
  <c r="Z79" i="7"/>
  <c r="Z80" i="7"/>
  <c r="Z81" i="7"/>
  <c r="Z82" i="7"/>
  <c r="Z83" i="7"/>
  <c r="Z84" i="7"/>
  <c r="Z85" i="7"/>
  <c r="Z86" i="7"/>
  <c r="Z87" i="7"/>
  <c r="Z88" i="7"/>
  <c r="Z89" i="7"/>
  <c r="Z90" i="7"/>
  <c r="Z91" i="7"/>
  <c r="Z92" i="7"/>
  <c r="Z93" i="7"/>
  <c r="Z94" i="7"/>
  <c r="Z95" i="7"/>
  <c r="Z96" i="7"/>
  <c r="Z97" i="7"/>
  <c r="Z98" i="7"/>
  <c r="Z99" i="7"/>
  <c r="Z100" i="7"/>
  <c r="Z101" i="7"/>
  <c r="Z102" i="7"/>
  <c r="Z103" i="7"/>
  <c r="Z104" i="7"/>
  <c r="Z105" i="7"/>
  <c r="Z106" i="7"/>
  <c r="Z107" i="7"/>
  <c r="Z108" i="7"/>
  <c r="Z109" i="7"/>
  <c r="Z110" i="7"/>
  <c r="Z111" i="7"/>
  <c r="Z112" i="7"/>
  <c r="Z113" i="7"/>
  <c r="Z114" i="7"/>
  <c r="Z115" i="7"/>
  <c r="Z116" i="7"/>
  <c r="Z118" i="7"/>
  <c r="Z119" i="7"/>
  <c r="Z120" i="7"/>
  <c r="Z121" i="7"/>
  <c r="Z122" i="7"/>
  <c r="Z123" i="7"/>
  <c r="Z124" i="7"/>
  <c r="Z125" i="7"/>
  <c r="Z126" i="7"/>
  <c r="Z128" i="7"/>
  <c r="Z129" i="7"/>
  <c r="V2" i="7"/>
  <c r="G2" i="7" s="1"/>
  <c r="V3" i="7"/>
  <c r="V4" i="7"/>
  <c r="V5" i="7"/>
  <c r="V6" i="7"/>
  <c r="V7" i="7"/>
  <c r="G7" i="7" s="1"/>
  <c r="V8" i="7"/>
  <c r="V9" i="7"/>
  <c r="V10" i="7"/>
  <c r="G10" i="7" s="1"/>
  <c r="V11" i="7"/>
  <c r="V12" i="7"/>
  <c r="V13" i="7"/>
  <c r="V14" i="7"/>
  <c r="V15" i="7"/>
  <c r="G15" i="7" s="1"/>
  <c r="V16" i="7"/>
  <c r="V17" i="7"/>
  <c r="V18" i="7"/>
  <c r="G18" i="7" s="1"/>
  <c r="V19" i="7"/>
  <c r="V20" i="7"/>
  <c r="V21" i="7"/>
  <c r="V22" i="7"/>
  <c r="V23" i="7"/>
  <c r="G23" i="7" s="1"/>
  <c r="V24" i="7"/>
  <c r="V25" i="7"/>
  <c r="V26" i="7"/>
  <c r="G26" i="7" s="1"/>
  <c r="V27" i="7"/>
  <c r="V28" i="7"/>
  <c r="V29" i="7"/>
  <c r="V30" i="7"/>
  <c r="V31" i="7"/>
  <c r="G31" i="7" s="1"/>
  <c r="V32" i="7"/>
  <c r="V33" i="7"/>
  <c r="V34" i="7"/>
  <c r="G34" i="7" s="1"/>
  <c r="V35" i="7"/>
  <c r="V36" i="7"/>
  <c r="V37" i="7"/>
  <c r="V38" i="7"/>
  <c r="V39" i="7"/>
  <c r="G39" i="7" s="1"/>
  <c r="V40" i="7"/>
  <c r="V41" i="7"/>
  <c r="V42" i="7"/>
  <c r="G42" i="7" s="1"/>
  <c r="V43" i="7"/>
  <c r="V44" i="7"/>
  <c r="V45" i="7"/>
  <c r="V46" i="7"/>
  <c r="V47" i="7"/>
  <c r="G47" i="7" s="1"/>
  <c r="V48" i="7"/>
  <c r="V49" i="7"/>
  <c r="V50" i="7"/>
  <c r="G50" i="7" s="1"/>
  <c r="V51" i="7"/>
  <c r="V52" i="7"/>
  <c r="V53" i="7"/>
  <c r="V54" i="7"/>
  <c r="V55" i="7"/>
  <c r="G55" i="7" s="1"/>
  <c r="V56" i="7"/>
  <c r="V57" i="7"/>
  <c r="V58" i="7"/>
  <c r="G58" i="7" s="1"/>
  <c r="V59" i="7"/>
  <c r="V60" i="7"/>
  <c r="V61" i="7"/>
  <c r="V62" i="7"/>
  <c r="V63" i="7"/>
  <c r="G63" i="7" s="1"/>
  <c r="V64" i="7"/>
  <c r="V65" i="7"/>
  <c r="V66" i="7"/>
  <c r="G66" i="7" s="1"/>
  <c r="V67" i="7"/>
  <c r="V68" i="7"/>
  <c r="V69" i="7"/>
  <c r="V70" i="7"/>
  <c r="V71" i="7"/>
  <c r="G71" i="7" s="1"/>
  <c r="V72" i="7"/>
  <c r="V73" i="7"/>
  <c r="V74" i="7"/>
  <c r="G74" i="7" s="1"/>
  <c r="V75" i="7"/>
  <c r="V76" i="7"/>
  <c r="V77" i="7"/>
  <c r="V78" i="7"/>
  <c r="V79" i="7"/>
  <c r="G79" i="7" s="1"/>
  <c r="V80" i="7"/>
  <c r="V81" i="7"/>
  <c r="V82" i="7"/>
  <c r="G82" i="7" s="1"/>
  <c r="V83" i="7"/>
  <c r="V84" i="7"/>
  <c r="V85" i="7"/>
  <c r="V86" i="7"/>
  <c r="V87" i="7"/>
  <c r="G87" i="7" s="1"/>
  <c r="V88" i="7"/>
  <c r="V89" i="7"/>
  <c r="V90" i="7"/>
  <c r="G90" i="7" s="1"/>
  <c r="V91" i="7"/>
  <c r="V92" i="7"/>
  <c r="V93" i="7"/>
  <c r="V94" i="7"/>
  <c r="V95" i="7"/>
  <c r="G95" i="7" s="1"/>
  <c r="V96" i="7"/>
  <c r="V97" i="7"/>
  <c r="V98" i="7"/>
  <c r="G98" i="7" s="1"/>
  <c r="V99" i="7"/>
  <c r="V100" i="7"/>
  <c r="V101" i="7"/>
  <c r="V102" i="7"/>
  <c r="V103" i="7"/>
  <c r="G103" i="7" s="1"/>
  <c r="V104" i="7"/>
  <c r="V105" i="7"/>
  <c r="V106" i="7"/>
  <c r="G106" i="7" s="1"/>
  <c r="V107" i="7"/>
  <c r="V108" i="7"/>
  <c r="V109" i="7"/>
  <c r="V110" i="7"/>
  <c r="V111" i="7"/>
  <c r="G111" i="7" s="1"/>
  <c r="V112" i="7"/>
  <c r="V113" i="7"/>
  <c r="V114" i="7"/>
  <c r="G114" i="7" s="1"/>
  <c r="V115" i="7"/>
  <c r="V116" i="7"/>
  <c r="V117" i="7"/>
  <c r="V118" i="7"/>
  <c r="V119" i="7"/>
  <c r="G119" i="7" s="1"/>
  <c r="V120" i="7"/>
  <c r="V121" i="7"/>
  <c r="V122" i="7"/>
  <c r="G122" i="7" s="1"/>
  <c r="V123" i="7"/>
  <c r="V124" i="7"/>
  <c r="V125" i="7"/>
  <c r="V126" i="7"/>
  <c r="V127" i="7"/>
  <c r="G127" i="7" s="1"/>
  <c r="V128" i="7"/>
  <c r="V129" i="7"/>
  <c r="K12" i="7"/>
  <c r="K10" i="7"/>
  <c r="K9" i="7"/>
  <c r="K8" i="7"/>
  <c r="K7" i="7"/>
  <c r="K5" i="7"/>
  <c r="K4" i="7"/>
  <c r="K2" i="7"/>
  <c r="G123" i="7" l="1"/>
  <c r="G115" i="7"/>
  <c r="G107" i="7"/>
  <c r="G99" i="7"/>
  <c r="G91" i="7"/>
  <c r="G83" i="7"/>
  <c r="G75" i="7"/>
  <c r="G67" i="7"/>
  <c r="G59" i="7"/>
  <c r="G51" i="7"/>
  <c r="G43" i="7"/>
  <c r="G35" i="7"/>
  <c r="G27" i="7"/>
  <c r="G19" i="7"/>
  <c r="G11" i="7"/>
  <c r="G3" i="7"/>
  <c r="G124" i="7"/>
  <c r="G116" i="7"/>
  <c r="G108" i="7"/>
  <c r="G100" i="7"/>
  <c r="G92" i="7"/>
  <c r="G84" i="7"/>
  <c r="G76" i="7"/>
  <c r="G68" i="7"/>
  <c r="G60" i="7"/>
  <c r="G52" i="7"/>
  <c r="G44" i="7"/>
  <c r="G36" i="7"/>
  <c r="G28" i="7"/>
  <c r="G20" i="7"/>
  <c r="G12" i="7"/>
  <c r="G4" i="7"/>
  <c r="G4" i="10"/>
  <c r="G129" i="7"/>
  <c r="G121" i="7"/>
  <c r="G113" i="7"/>
  <c r="G105" i="7"/>
  <c r="G97" i="7"/>
  <c r="G89" i="7"/>
  <c r="G81" i="7"/>
  <c r="G73" i="7"/>
  <c r="G65" i="7"/>
  <c r="G57" i="7"/>
  <c r="G49" i="7"/>
  <c r="G41" i="7"/>
  <c r="G33" i="7"/>
  <c r="G25" i="7"/>
  <c r="G17" i="7"/>
  <c r="G9" i="7"/>
  <c r="G126" i="7"/>
  <c r="G118" i="7"/>
  <c r="G110" i="7"/>
  <c r="G102" i="7"/>
  <c r="G94" i="7"/>
  <c r="G86" i="7"/>
  <c r="G78" i="7"/>
  <c r="G70" i="7"/>
  <c r="G62" i="7"/>
  <c r="G54" i="7"/>
  <c r="G46" i="7"/>
  <c r="G38" i="7"/>
  <c r="G30" i="7"/>
  <c r="G22" i="7"/>
  <c r="G14" i="7"/>
  <c r="G6" i="7"/>
  <c r="G125" i="7"/>
  <c r="G117" i="7"/>
  <c r="G109" i="7"/>
  <c r="G101" i="7"/>
  <c r="G93" i="7"/>
  <c r="G85" i="7"/>
  <c r="G77" i="7"/>
  <c r="G69" i="7"/>
  <c r="G61" i="7"/>
  <c r="G53" i="7"/>
  <c r="G45" i="7"/>
  <c r="G37" i="7"/>
  <c r="G29" i="7"/>
  <c r="G21" i="7"/>
  <c r="G13" i="7"/>
  <c r="G5" i="7"/>
  <c r="G128" i="7"/>
  <c r="G120" i="7"/>
  <c r="G112" i="7"/>
  <c r="G104" i="7"/>
  <c r="G96" i="7"/>
  <c r="G88" i="7"/>
  <c r="G80" i="7"/>
  <c r="G72" i="7"/>
  <c r="G64" i="7"/>
  <c r="G56" i="7"/>
  <c r="G48" i="7"/>
  <c r="G40" i="7"/>
  <c r="G32" i="7"/>
  <c r="G24" i="7"/>
  <c r="G16" i="7"/>
  <c r="G8" i="7"/>
  <c r="AF128" i="7"/>
  <c r="AF120" i="7"/>
  <c r="AF112" i="7"/>
  <c r="AF104" i="7"/>
  <c r="AF96" i="7"/>
  <c r="AF88" i="7"/>
  <c r="AF80" i="7"/>
  <c r="AF72" i="7"/>
  <c r="AF64" i="7"/>
  <c r="AF56" i="7"/>
  <c r="AF48" i="7"/>
  <c r="AF40" i="7"/>
  <c r="AF32" i="7"/>
  <c r="AF24" i="7"/>
  <c r="AF16" i="7"/>
  <c r="AF8" i="7"/>
  <c r="AF127" i="7"/>
  <c r="AF119" i="7"/>
  <c r="AF111" i="7"/>
  <c r="AF103" i="7"/>
  <c r="AF95" i="7"/>
  <c r="AF87" i="7"/>
  <c r="AF79" i="7"/>
  <c r="AF71" i="7"/>
  <c r="AF63" i="7"/>
  <c r="AF55" i="7"/>
  <c r="AF47" i="7"/>
  <c r="AF39" i="7"/>
  <c r="AF31" i="7"/>
  <c r="AF23" i="7"/>
  <c r="AF15" i="7"/>
  <c r="AF7" i="7"/>
  <c r="AF125" i="7"/>
  <c r="AF117" i="7"/>
  <c r="AF109" i="7"/>
  <c r="AF101" i="7"/>
  <c r="AF93" i="7"/>
  <c r="AF85" i="7"/>
  <c r="AF77" i="7"/>
  <c r="AF69" i="7"/>
  <c r="AF61" i="7"/>
  <c r="AF53" i="7"/>
  <c r="AF45" i="7"/>
  <c r="AF37" i="7"/>
  <c r="AF29" i="7"/>
  <c r="AF21" i="7"/>
  <c r="AF13" i="7"/>
  <c r="AF5" i="7"/>
  <c r="AF129" i="7"/>
  <c r="AF121" i="7"/>
  <c r="AF113" i="7"/>
  <c r="AF105" i="7"/>
  <c r="AF97" i="7"/>
  <c r="AF89" i="7"/>
  <c r="AF81" i="7"/>
  <c r="AF73" i="7"/>
  <c r="AF65" i="7"/>
  <c r="AF57" i="7"/>
  <c r="AF49" i="7"/>
  <c r="AF41" i="7"/>
  <c r="AF33" i="7"/>
  <c r="AF25" i="7"/>
  <c r="AF17" i="7"/>
  <c r="AF9" i="7"/>
  <c r="AF126" i="7"/>
  <c r="AF118" i="7"/>
  <c r="AF110" i="7"/>
  <c r="AF102" i="7"/>
  <c r="AF94" i="7"/>
  <c r="AF86" i="7"/>
  <c r="AF78" i="7"/>
  <c r="AF70" i="7"/>
  <c r="AF62" i="7"/>
  <c r="AF54" i="7"/>
  <c r="AF46" i="7"/>
  <c r="AF38" i="7"/>
  <c r="AF30" i="7"/>
  <c r="AF22" i="7"/>
  <c r="AF14" i="7"/>
  <c r="AF6" i="7"/>
  <c r="AF124" i="7"/>
  <c r="AF116" i="7"/>
  <c r="AF108" i="7"/>
  <c r="AF100" i="7"/>
  <c r="AF92" i="7"/>
  <c r="AF84" i="7"/>
  <c r="AF76" i="7"/>
  <c r="AF68" i="7"/>
  <c r="AF60" i="7"/>
  <c r="AF52" i="7"/>
  <c r="AF44" i="7"/>
  <c r="AF36" i="7"/>
  <c r="AF28" i="7"/>
  <c r="AF20" i="7"/>
  <c r="AF12" i="7"/>
  <c r="AF4" i="7"/>
  <c r="AF123" i="7"/>
  <c r="AF115" i="7"/>
  <c r="AF107" i="7"/>
  <c r="AF99" i="7"/>
  <c r="AF91" i="7"/>
  <c r="AF83" i="7"/>
  <c r="AF75" i="7"/>
  <c r="AF67" i="7"/>
  <c r="AF59" i="7"/>
  <c r="AF51" i="7"/>
  <c r="AF43" i="7"/>
  <c r="AF35" i="7"/>
  <c r="AF27" i="7"/>
  <c r="AF19" i="7"/>
  <c r="AF11" i="7"/>
  <c r="AF3" i="7"/>
  <c r="AF122" i="7"/>
  <c r="AF114" i="7"/>
  <c r="AF106" i="7"/>
  <c r="AF98" i="7"/>
  <c r="AF90" i="7"/>
  <c r="AF82" i="7"/>
  <c r="AF74" i="7"/>
  <c r="AF66" i="7"/>
  <c r="AF58" i="7"/>
  <c r="AF50" i="7"/>
  <c r="AF42" i="7"/>
  <c r="AF34" i="7"/>
  <c r="AF26" i="7"/>
  <c r="AF18" i="7"/>
  <c r="AF10" i="7"/>
  <c r="AF2" i="7"/>
  <c r="W128" i="7"/>
  <c r="W120" i="7"/>
  <c r="W112" i="7"/>
  <c r="W104" i="7"/>
  <c r="W96" i="7"/>
  <c r="W88" i="7"/>
  <c r="W80" i="7"/>
  <c r="W72" i="7"/>
  <c r="W64" i="7"/>
  <c r="W56" i="7"/>
  <c r="W48" i="7"/>
  <c r="W40" i="7"/>
  <c r="W32" i="7"/>
  <c r="W24" i="7"/>
  <c r="W16" i="7"/>
  <c r="W8" i="7"/>
  <c r="W126" i="7"/>
  <c r="W118" i="7"/>
  <c r="W110" i="7"/>
  <c r="W102" i="7"/>
  <c r="W94" i="7"/>
  <c r="W86" i="7"/>
  <c r="W78" i="7"/>
  <c r="W70" i="7"/>
  <c r="W62" i="7"/>
  <c r="W54" i="7"/>
  <c r="W46" i="7"/>
  <c r="W38" i="7"/>
  <c r="W30" i="7"/>
  <c r="W22" i="7"/>
  <c r="W14" i="7"/>
  <c r="W6" i="7"/>
  <c r="W125" i="7"/>
  <c r="W117" i="7"/>
  <c r="W109" i="7"/>
  <c r="W101" i="7"/>
  <c r="W93" i="7"/>
  <c r="W85" i="7"/>
  <c r="W77" i="7"/>
  <c r="W69" i="7"/>
  <c r="W61" i="7"/>
  <c r="W53" i="7"/>
  <c r="W45" i="7"/>
  <c r="W37" i="7"/>
  <c r="W29" i="7"/>
  <c r="W21" i="7"/>
  <c r="W13" i="7"/>
  <c r="W5" i="7"/>
  <c r="W124" i="7"/>
  <c r="W123" i="7"/>
  <c r="W115" i="7"/>
  <c r="W107" i="7"/>
  <c r="W99" i="7"/>
  <c r="W91" i="7"/>
  <c r="W83" i="7"/>
  <c r="W75" i="7"/>
  <c r="W67" i="7"/>
  <c r="W59" i="7"/>
  <c r="W51" i="7"/>
  <c r="W43" i="7"/>
  <c r="W35" i="7"/>
  <c r="W27" i="7"/>
  <c r="W19" i="7"/>
  <c r="W11" i="7"/>
  <c r="W3" i="7"/>
  <c r="W122" i="7"/>
  <c r="W114" i="7"/>
  <c r="W106" i="7"/>
  <c r="W98" i="7"/>
  <c r="W90" i="7"/>
  <c r="W82" i="7"/>
  <c r="W74" i="7"/>
  <c r="W66" i="7"/>
  <c r="W58" i="7"/>
  <c r="W50" i="7"/>
  <c r="W42" i="7"/>
  <c r="W34" i="7"/>
  <c r="W26" i="7"/>
  <c r="W18" i="7"/>
  <c r="W10" i="7"/>
  <c r="W2" i="7"/>
  <c r="W119" i="7"/>
  <c r="W111" i="7"/>
  <c r="W103" i="7"/>
  <c r="W95" i="7"/>
  <c r="W87" i="7"/>
  <c r="W79" i="7"/>
  <c r="W71" i="7"/>
  <c r="W63" i="7"/>
  <c r="W55" i="7"/>
  <c r="W47" i="7"/>
  <c r="W39" i="7"/>
  <c r="W31" i="7"/>
  <c r="W23" i="7"/>
  <c r="W15" i="7"/>
  <c r="W7" i="7"/>
  <c r="W116" i="7"/>
  <c r="W108" i="7"/>
  <c r="W100" i="7"/>
  <c r="W92" i="7"/>
  <c r="W84" i="7"/>
  <c r="W76" i="7"/>
  <c r="W68" i="7"/>
  <c r="W60" i="7"/>
  <c r="W52" i="7"/>
  <c r="W44" i="7"/>
  <c r="W36" i="7"/>
  <c r="W28" i="7"/>
  <c r="W20" i="7"/>
  <c r="W12" i="7"/>
  <c r="W4" i="7"/>
  <c r="W129" i="7"/>
  <c r="W121" i="7"/>
  <c r="W113" i="7"/>
  <c r="W105" i="7"/>
  <c r="W97" i="7"/>
  <c r="W89" i="7"/>
  <c r="W81" i="7"/>
  <c r="W73" i="7"/>
  <c r="W65" i="7"/>
  <c r="W57" i="7"/>
  <c r="W49" i="7"/>
  <c r="W41" i="7"/>
  <c r="W33" i="7"/>
  <c r="W25" i="7"/>
  <c r="W17" i="7"/>
  <c r="W9" i="7"/>
  <c r="F10" i="7"/>
  <c r="H10" i="7" s="1"/>
  <c r="F2" i="7"/>
  <c r="H2" i="7" s="1"/>
  <c r="F5" i="7"/>
  <c r="H5" i="7" s="1"/>
  <c r="F7" i="7"/>
  <c r="H7" i="7" s="1"/>
  <c r="F11" i="7"/>
  <c r="H11" i="7" s="1"/>
  <c r="F3" i="7"/>
  <c r="F6" i="7"/>
  <c r="H6" i="7" s="1"/>
  <c r="F9" i="7"/>
  <c r="F12" i="7"/>
  <c r="H12" i="7" s="1"/>
  <c r="F4" i="7"/>
  <c r="F8" i="7"/>
  <c r="I4" i="10" l="1"/>
  <c r="H3" i="7"/>
  <c r="H4" i="7"/>
  <c r="H9" i="7"/>
  <c r="H8" i="7"/>
  <c r="G5" i="10" l="1"/>
  <c r="I5" i="10" s="1"/>
  <c r="G34" i="10" s="1"/>
  <c r="G9" i="10"/>
  <c r="I9" i="10" s="1"/>
  <c r="G35" i="10" s="1"/>
  <c r="C5" i="10"/>
  <c r="G3" i="10" l="1"/>
  <c r="C4" i="10"/>
  <c r="I3" i="10" l="1"/>
  <c r="H4" i="10"/>
  <c r="G33" i="10"/>
  <c r="H7" i="10"/>
  <c r="H6" i="10"/>
  <c r="H8" i="10"/>
  <c r="H10" i="10"/>
  <c r="H11" i="10"/>
  <c r="H13" i="10"/>
  <c r="H14" i="10"/>
  <c r="H12" i="10"/>
  <c r="H15" i="10"/>
  <c r="H5" i="10"/>
  <c r="H9" i="10"/>
</calcChain>
</file>

<file path=xl/sharedStrings.xml><?xml version="1.0" encoding="utf-8"?>
<sst xmlns="http://schemas.openxmlformats.org/spreadsheetml/2006/main" count="2124" uniqueCount="500">
  <si>
    <t>385010</t>
  </si>
  <si>
    <t>385015</t>
  </si>
  <si>
    <t>385018</t>
  </si>
  <si>
    <t>385024</t>
  </si>
  <si>
    <t>385031</t>
  </si>
  <si>
    <t>385044</t>
  </si>
  <si>
    <t>385045</t>
  </si>
  <si>
    <t>385046</t>
  </si>
  <si>
    <t>385049</t>
  </si>
  <si>
    <t>385053</t>
  </si>
  <si>
    <t>385055</t>
  </si>
  <si>
    <t>385064</t>
  </si>
  <si>
    <t>385068</t>
  </si>
  <si>
    <t>385072</t>
  </si>
  <si>
    <t>385077</t>
  </si>
  <si>
    <t>385091</t>
  </si>
  <si>
    <t>385104</t>
  </si>
  <si>
    <t>385107</t>
  </si>
  <si>
    <t>385112</t>
  </si>
  <si>
    <t>385115</t>
  </si>
  <si>
    <t>385117</t>
  </si>
  <si>
    <t>385120</t>
  </si>
  <si>
    <t>385121</t>
  </si>
  <si>
    <t>385125</t>
  </si>
  <si>
    <t>385126</t>
  </si>
  <si>
    <t>385132</t>
  </si>
  <si>
    <t>385133</t>
  </si>
  <si>
    <t>385136</t>
  </si>
  <si>
    <t>385137</t>
  </si>
  <si>
    <t>385138</t>
  </si>
  <si>
    <t>385141</t>
  </si>
  <si>
    <t>385142</t>
  </si>
  <si>
    <t>385143</t>
  </si>
  <si>
    <t>385144</t>
  </si>
  <si>
    <t>385145</t>
  </si>
  <si>
    <t>385147</t>
  </si>
  <si>
    <t>385148</t>
  </si>
  <si>
    <t>385149</t>
  </si>
  <si>
    <t>385150</t>
  </si>
  <si>
    <t>385151</t>
  </si>
  <si>
    <t>385152</t>
  </si>
  <si>
    <t>385155</t>
  </si>
  <si>
    <t>385156</t>
  </si>
  <si>
    <t>385157</t>
  </si>
  <si>
    <t>385161</t>
  </si>
  <si>
    <t>385162</t>
  </si>
  <si>
    <t>385164</t>
  </si>
  <si>
    <t>385165</t>
  </si>
  <si>
    <t>385166</t>
  </si>
  <si>
    <t>385167</t>
  </si>
  <si>
    <t>385168</t>
  </si>
  <si>
    <t>385171</t>
  </si>
  <si>
    <t>385172</t>
  </si>
  <si>
    <t>385180</t>
  </si>
  <si>
    <t>385181</t>
  </si>
  <si>
    <t>385182</t>
  </si>
  <si>
    <t>385183</t>
  </si>
  <si>
    <t>385185</t>
  </si>
  <si>
    <t>385187</t>
  </si>
  <si>
    <t>385188</t>
  </si>
  <si>
    <t>385189</t>
  </si>
  <si>
    <t>385190</t>
  </si>
  <si>
    <t>385195</t>
  </si>
  <si>
    <t>385197</t>
  </si>
  <si>
    <t>385199</t>
  </si>
  <si>
    <t>385200</t>
  </si>
  <si>
    <t>385201</t>
  </si>
  <si>
    <t>385203</t>
  </si>
  <si>
    <t>385204</t>
  </si>
  <si>
    <t>385206</t>
  </si>
  <si>
    <t>385207</t>
  </si>
  <si>
    <t>385208</t>
  </si>
  <si>
    <t>385211</t>
  </si>
  <si>
    <t>385214</t>
  </si>
  <si>
    <t>385217</t>
  </si>
  <si>
    <t>385218</t>
  </si>
  <si>
    <t>385220</t>
  </si>
  <si>
    <t>385221</t>
  </si>
  <si>
    <t>385222</t>
  </si>
  <si>
    <t>385224</t>
  </si>
  <si>
    <t>385225</t>
  </si>
  <si>
    <t>385228</t>
  </si>
  <si>
    <t>385229</t>
  </si>
  <si>
    <t>385230</t>
  </si>
  <si>
    <t>385232</t>
  </si>
  <si>
    <t>385233</t>
  </si>
  <si>
    <t>385234</t>
  </si>
  <si>
    <t>385237</t>
  </si>
  <si>
    <t>385239</t>
  </si>
  <si>
    <t>385240</t>
  </si>
  <si>
    <t>385241</t>
  </si>
  <si>
    <t>385244</t>
  </si>
  <si>
    <t>385245</t>
  </si>
  <si>
    <t>385250</t>
  </si>
  <si>
    <t>385251</t>
  </si>
  <si>
    <t>385253</t>
  </si>
  <si>
    <t>385254</t>
  </si>
  <si>
    <t>385257</t>
  </si>
  <si>
    <t>385258</t>
  </si>
  <si>
    <t>385259</t>
  </si>
  <si>
    <t>385260</t>
  </si>
  <si>
    <t>385261</t>
  </si>
  <si>
    <t>385263</t>
  </si>
  <si>
    <t>385264</t>
  </si>
  <si>
    <t>385266</t>
  </si>
  <si>
    <t>385268</t>
  </si>
  <si>
    <t>385269</t>
  </si>
  <si>
    <t>385270</t>
  </si>
  <si>
    <t>385271</t>
  </si>
  <si>
    <t>385272</t>
  </si>
  <si>
    <t>385273</t>
  </si>
  <si>
    <t>385274</t>
  </si>
  <si>
    <t>385275</t>
  </si>
  <si>
    <t>385276</t>
  </si>
  <si>
    <t>385277</t>
  </si>
  <si>
    <t>385278</t>
  </si>
  <si>
    <t>385279</t>
  </si>
  <si>
    <t>385280</t>
  </si>
  <si>
    <t>385282</t>
  </si>
  <si>
    <t>385283</t>
  </si>
  <si>
    <t>38A026</t>
  </si>
  <si>
    <t>38A031</t>
  </si>
  <si>
    <t>38E040</t>
  </si>
  <si>
    <t>38E075</t>
  </si>
  <si>
    <t>38E157</t>
  </si>
  <si>
    <t>38E173</t>
  </si>
  <si>
    <t>38E174</t>
  </si>
  <si>
    <t>38E188</t>
  </si>
  <si>
    <t>OR</t>
  </si>
  <si>
    <t>LAURELHURST VILLAGE</t>
  </si>
  <si>
    <t>REGENCY GRESHAM NURSING &amp; REHAB CENTER</t>
  </si>
  <si>
    <t>PROVIDENCE BENEDICTINE NURSING CENTER</t>
  </si>
  <si>
    <t>AVAMERE HEALTH SERVICES OF ROGUE VALLEY</t>
  </si>
  <si>
    <t>AVAMERE CRESTVIEW OF PORTLAND</t>
  </si>
  <si>
    <t>PRESTIGE CARE AND REHABILITATION - MENLO PARK</t>
  </si>
  <si>
    <t>PORTHAVEN HEALTHCARE CENTER</t>
  </si>
  <si>
    <t>HILLSIDE HEIGHTS REHABILITATION CENTER</t>
  </si>
  <si>
    <t>COLUMBIA BASIN CARE FACILITY</t>
  </si>
  <si>
    <t>AVAMERE REHABILITATION OF EUGENE</t>
  </si>
  <si>
    <t>PRESTIGE CARE AND REHABILITATION OF REEDWOOD</t>
  </si>
  <si>
    <t>REGENCY CARE OF ROGUE VALLEY</t>
  </si>
  <si>
    <t>VILLAGE HEALTH CARE</t>
  </si>
  <si>
    <t>CORVALLIS MANOR</t>
  </si>
  <si>
    <t>MARQUIS SPRINGFIELD</t>
  </si>
  <si>
    <t>HEARTHSTONE NURSING &amp; REHABILITATION CENTER</t>
  </si>
  <si>
    <t>HOOD RIVER CARE CENTER</t>
  </si>
  <si>
    <t>TIMBERVIEW CARE CENTER</t>
  </si>
  <si>
    <t>WEST HILLS HEALTH &amp; REHABILITATION</t>
  </si>
  <si>
    <t>LAKEVIEW GARDENS</t>
  </si>
  <si>
    <t>FRENCH PRAIRIE NURSING &amp; REHABILITATION CENTER</t>
  </si>
  <si>
    <t>VALLEY WEST HEALTH CARE CENTER</t>
  </si>
  <si>
    <t>FRIENDSHIP HEALTH CENTER</t>
  </si>
  <si>
    <t>AVAMERE REHABILITATION OF OREGON CITY</t>
  </si>
  <si>
    <t>AVAMERE AT THREE FOUNTAINS</t>
  </si>
  <si>
    <t>AVAMERE REHABILITATION OF KING CITY</t>
  </si>
  <si>
    <t>GOOD SAMARITAN SOCIETY - FAIRLAWN VILLAGE</t>
  </si>
  <si>
    <t>GLISAN CARE CENTER</t>
  </si>
  <si>
    <t>MARQUIS PLUM RIDGE POST ACUTE REHAB</t>
  </si>
  <si>
    <t>PILOT BUTTE REHABILITATION CENTER</t>
  </si>
  <si>
    <t>MARQUIS MT TABOR</t>
  </si>
  <si>
    <t>REGENCY FLORENCE</t>
  </si>
  <si>
    <t>UMPQUA VALLEY NURSING &amp; REHABILITATION CENTER</t>
  </si>
  <si>
    <t>CLATSOP CARE CENTER</t>
  </si>
  <si>
    <t>ROBISON JEWISH HEALTH CENTER</t>
  </si>
  <si>
    <t>GOOD SAMARITAN SOCIETY - EUGENE VILLAGE</t>
  </si>
  <si>
    <t>ROYALE GARDENS HEALTH &amp; REHABILITATION CENTER</t>
  </si>
  <si>
    <t>HIGHLAND HOUSE NURSING &amp; REHABILITATION CENTER</t>
  </si>
  <si>
    <t>MOLALLA MANOR CARE CENTER</t>
  </si>
  <si>
    <t>ROSE HAVEN NURSING CENTER</t>
  </si>
  <si>
    <t>COAST FORK NURSING CENTER</t>
  </si>
  <si>
    <t>FOREST GROVE REHABILITATION AND CARE CENTER</t>
  </si>
  <si>
    <t>GREEN VALLEY REHABILITATION HEALTH CENTER</t>
  </si>
  <si>
    <t>LIFE CARE CTR OF COOS BAY</t>
  </si>
  <si>
    <t>MILTON FREEWATER HEALTH AND REHABILITATION CENTER</t>
  </si>
  <si>
    <t>AVAMERE REHABILITATION OF NEWPORT</t>
  </si>
  <si>
    <t>AIDAN SENIOR LIVING AT REEDSPORT</t>
  </si>
  <si>
    <t>GOOD SAMARITAN SOCIETY - CURRY VILLAGE</t>
  </si>
  <si>
    <t>MARYVILLE</t>
  </si>
  <si>
    <t>SOUTH HILLS REHABILITATION CEN</t>
  </si>
  <si>
    <t>AVAMERE REHABILITATION OF LEBANON</t>
  </si>
  <si>
    <t>LIFE CARE CENTER OF MCMINNVILLE</t>
  </si>
  <si>
    <t>THE DALLES HEALTH AND REHABILITATION CENTER</t>
  </si>
  <si>
    <t>MARQUIS NEWBERG</t>
  </si>
  <si>
    <t>EAST CASCADE RETIREMENT COMMUNITY, LLC</t>
  </si>
  <si>
    <t>CRESWELL HEALTH AND REHABILITATION CENTER</t>
  </si>
  <si>
    <t>MARQUIS CENTENNIAL POST ACUTE REHAB</t>
  </si>
  <si>
    <t>AVAMERE RIVERPARK OF EUGENE</t>
  </si>
  <si>
    <t>CASCADE TERRACE</t>
  </si>
  <si>
    <t>INDEPENDENCE HEALTH AND REHABILITATION CENTER</t>
  </si>
  <si>
    <t>AVAMERE TRANSITIONAL CARE AT SUNNYSIDE</t>
  </si>
  <si>
    <t>GRESHAM POST ACUTE CARE AND REHABILITATION</t>
  </si>
  <si>
    <t>AVAMERE REHABILITATION OF BEAVERTON</t>
  </si>
  <si>
    <t>LINDA VISTA NURSING &amp; REHAB CENTER</t>
  </si>
  <si>
    <t>CHEHALEM HEALTH &amp; REHAB</t>
  </si>
  <si>
    <t>WILLAMETTE VIEW HEALTH CENTER</t>
  </si>
  <si>
    <t>WILLOWBROOK TERRACE</t>
  </si>
  <si>
    <t>AVAMERE REHABILITATION OF CLACKAMAS</t>
  </si>
  <si>
    <t>MARQUIS FOREST GROVE POST ACUTE REHAB</t>
  </si>
  <si>
    <t>MENNONITE HOME</t>
  </si>
  <si>
    <t>DALLAS RETIREMENT VILLAGE HEALTH CENTER</t>
  </si>
  <si>
    <t>MARQUIS PIEDMONT POST ACUTE REHAB</t>
  </si>
  <si>
    <t>LAGRANDE POST ACUTE REHAB</t>
  </si>
  <si>
    <t>MARQUIS MILL PARK</t>
  </si>
  <si>
    <t>EMPRES HILLSBORO HEALTH AND REHABILITATION CENTER</t>
  </si>
  <si>
    <t>MARQUIS VERMONT HILLS</t>
  </si>
  <si>
    <t>REGENCY ALBANY</t>
  </si>
  <si>
    <t>MARQUIS OREGON CITY POST ACUTE REHAB</t>
  </si>
  <si>
    <t>MEADOW PARK HEALTH &amp; SPECIALTY CARE CENTER</t>
  </si>
  <si>
    <t>WINDSOR HEALTH &amp; REHABILITATION CENTER</t>
  </si>
  <si>
    <t>PRESTIGE POST-ACUTE &amp; REHAB CENTER - MCMINNVILLE</t>
  </si>
  <si>
    <t>PORTLAND HEALTH &amp; REHABILITATION  CENTER</t>
  </si>
  <si>
    <t>AVAMERE REHABILITATION OF JUNCTION CITY</t>
  </si>
  <si>
    <t>REGENCY REDMOND REHABILITATION AND NURSING CENTER</t>
  </si>
  <si>
    <t>LAUREL HILL NURSING CENTER</t>
  </si>
  <si>
    <t>AVAMERE COURT AT KEIZER</t>
  </si>
  <si>
    <t>SALEM TRANSITIONAL CARE</t>
  </si>
  <si>
    <t>FERNHILL ESTATES</t>
  </si>
  <si>
    <t>AVAMERE REHABILITATION OF COOS BAY</t>
  </si>
  <si>
    <t>MARQUIS MARIAN ESTATES</t>
  </si>
  <si>
    <t>THE OAKS AT SHERWOOD PARK</t>
  </si>
  <si>
    <t>NEHALEM VALLEY CARE CENTER</t>
  </si>
  <si>
    <t>OREGON CITY HEALTH CARE CENTER</t>
  </si>
  <si>
    <t>ROGUE VALLEY MANOR</t>
  </si>
  <si>
    <t>AVAMERE REHABILITATION OF HILLSBORO</t>
  </si>
  <si>
    <t>BEND TRANSITIONAL CARE</t>
  </si>
  <si>
    <t>MYRTLE POINT CARE CENTER</t>
  </si>
  <si>
    <t>OREGON VETERANS HOME</t>
  </si>
  <si>
    <t>PARK FOREST CARE CENTER</t>
  </si>
  <si>
    <t>HOLLADAY PARK PLAZA</t>
  </si>
  <si>
    <t>MARQUIS HOPE VILLAGE</t>
  </si>
  <si>
    <t>REGENCY PRINEVILLE REHABILITATION &amp; NURSING CENTER</t>
  </si>
  <si>
    <t>REGENCY HERMISTON NURSING &amp; REHAB CENTER</t>
  </si>
  <si>
    <t>SECORA REHABILITATION OF CASCADIA</t>
  </si>
  <si>
    <t>MARQUIS WILSONVILLE POST ACUTE REHAB</t>
  </si>
  <si>
    <t>GATEWAY CARE AND RETIREMENT</t>
  </si>
  <si>
    <t>VILLAGE AT HILLSIDE</t>
  </si>
  <si>
    <t>PRESTIGE POST-ACUTE &amp; REHAB CENTER - MILWAUKIE</t>
  </si>
  <si>
    <t>PEARL AT KRUSE WAY, THE</t>
  </si>
  <si>
    <t>PACIFIC HEALTH AND REHABILITATION</t>
  </si>
  <si>
    <t>PIONEER NURSING HOME</t>
  </si>
  <si>
    <t>MIRABELLA PORTLAND</t>
  </si>
  <si>
    <t>SHERIDAN CARE CENTER</t>
  </si>
  <si>
    <t>CASCADE MANOR</t>
  </si>
  <si>
    <t>CREEKSIDE REHABILITATION AND NURSING</t>
  </si>
  <si>
    <t>ROSE LINN CARE CENTER</t>
  </si>
  <si>
    <t>MARQUIS TUALATIN POST ACUTE REHAB</t>
  </si>
  <si>
    <t>LEBANON VETERANS HOME</t>
  </si>
  <si>
    <t>REGENCY CARE OF CENTRAL OREGON</t>
  </si>
  <si>
    <t>COLUMBIA CARE CENTER</t>
  </si>
  <si>
    <t>MARQUIS AUTUMN HILLS MEMORY CARE</t>
  </si>
  <si>
    <t>ROSE VILLA SENIOR LIVING COMMUNITY</t>
  </si>
  <si>
    <t>BLUE MOUNTAIN CARE CENTER</t>
  </si>
  <si>
    <t>TIERRA ROSE CARE CENTER</t>
  </si>
  <si>
    <t>EAST PORTLAND CARE CENTER</t>
  </si>
  <si>
    <t>CORNERSTONE CARE OPTION</t>
  </si>
  <si>
    <t>VILLAGE MANOR</t>
  </si>
  <si>
    <t>GRACELEN TERRACE NF</t>
  </si>
  <si>
    <t>FLORENCE</t>
  </si>
  <si>
    <t>ASHLAND</t>
  </si>
  <si>
    <t>SALEM</t>
  </si>
  <si>
    <t>SHERIDAN</t>
  </si>
  <si>
    <t>NEWPORT</t>
  </si>
  <si>
    <t>SPRINGFIELD</t>
  </si>
  <si>
    <t>PORTLAND</t>
  </si>
  <si>
    <t>DALLAS</t>
  </si>
  <si>
    <t>ALBANY</t>
  </si>
  <si>
    <t>HILLSBORO</t>
  </si>
  <si>
    <t>LEBANON</t>
  </si>
  <si>
    <t>PRAIRIE CITY</t>
  </si>
  <si>
    <t>PENDLETON</t>
  </si>
  <si>
    <t>INDEPENDENCE</t>
  </si>
  <si>
    <t>JUNCTION CITY</t>
  </si>
  <si>
    <t>WOODBURN</t>
  </si>
  <si>
    <t>MEDFORD</t>
  </si>
  <si>
    <t>LAKEVIEW</t>
  </si>
  <si>
    <t>CANBY</t>
  </si>
  <si>
    <t>COTTAGE GROVE</t>
  </si>
  <si>
    <t>GLADSTONE</t>
  </si>
  <si>
    <t>ASTORIA</t>
  </si>
  <si>
    <t>GRESHAM</t>
  </si>
  <si>
    <t>MOUNT ANGEL</t>
  </si>
  <si>
    <t>EUGENE</t>
  </si>
  <si>
    <t>THE DALLES</t>
  </si>
  <si>
    <t>GRANTS PASS</t>
  </si>
  <si>
    <t>CORVALLIS</t>
  </si>
  <si>
    <t>HOOD RIVER</t>
  </si>
  <si>
    <t>OREGON CITY</t>
  </si>
  <si>
    <t>TIGARD</t>
  </si>
  <si>
    <t>KLAMATH FALLS</t>
  </si>
  <si>
    <t>BEND</t>
  </si>
  <si>
    <t>ROSEBURG</t>
  </si>
  <si>
    <t>MOLALLA</t>
  </si>
  <si>
    <t>FOREST GROVE</t>
  </si>
  <si>
    <t>COOS BAY</t>
  </si>
  <si>
    <t>MILTON FREEWATER</t>
  </si>
  <si>
    <t>REEDSPORT</t>
  </si>
  <si>
    <t>BROOKINGS</t>
  </si>
  <si>
    <t>BEAVERTON</t>
  </si>
  <si>
    <t>MCMINNVILLE</t>
  </si>
  <si>
    <t>NEWBERG</t>
  </si>
  <si>
    <t>MADRAS</t>
  </si>
  <si>
    <t>CRESWELL</t>
  </si>
  <si>
    <t>MILWAUKIE</t>
  </si>
  <si>
    <t>LA GRANDE</t>
  </si>
  <si>
    <t>SAINT HELENS</t>
  </si>
  <si>
    <t>REDMOND</t>
  </si>
  <si>
    <t>KEIZER</t>
  </si>
  <si>
    <t>SUBLIMITY</t>
  </si>
  <si>
    <t>WHEELER</t>
  </si>
  <si>
    <t>MYRTLE POINT</t>
  </si>
  <si>
    <t>PRINEVILLE</t>
  </si>
  <si>
    <t>HERMISTON</t>
  </si>
  <si>
    <t>WILSONVILLE</t>
  </si>
  <si>
    <t>LAKE OSWEGO</t>
  </si>
  <si>
    <t>VALE</t>
  </si>
  <si>
    <t>WEST LINN</t>
  </si>
  <si>
    <t>TUALATIN</t>
  </si>
  <si>
    <t>SCAPPOOSE</t>
  </si>
  <si>
    <t>WOOD VILLAGE</t>
  </si>
  <si>
    <t>Jackson</t>
  </si>
  <si>
    <t>Jefferson</t>
  </si>
  <si>
    <t>Washington</t>
  </si>
  <si>
    <t>Marion</t>
  </si>
  <si>
    <t>Benton</t>
  </si>
  <si>
    <t>Columbia</t>
  </si>
  <si>
    <t>Union</t>
  </si>
  <si>
    <t>Grant</t>
  </si>
  <si>
    <t>Lincoln</t>
  </si>
  <si>
    <t>Polk</t>
  </si>
  <si>
    <t>Lake</t>
  </si>
  <si>
    <t>Douglas</t>
  </si>
  <si>
    <t>Linn</t>
  </si>
  <si>
    <t>Coos</t>
  </si>
  <si>
    <t>Curry</t>
  </si>
  <si>
    <t>Multnomah</t>
  </si>
  <si>
    <t>Lane</t>
  </si>
  <si>
    <t>Wasco</t>
  </si>
  <si>
    <t>Josephine</t>
  </si>
  <si>
    <t>Hood River</t>
  </si>
  <si>
    <t>Clackamas</t>
  </si>
  <si>
    <t>Klamath</t>
  </si>
  <si>
    <t>Deschutes</t>
  </si>
  <si>
    <t>Clatsop</t>
  </si>
  <si>
    <t>Umatilla</t>
  </si>
  <si>
    <t>Yamhill</t>
  </si>
  <si>
    <t>Tillamook</t>
  </si>
  <si>
    <t>Crook</t>
  </si>
  <si>
    <t>Malheur</t>
  </si>
  <si>
    <t>State</t>
  </si>
  <si>
    <t>Provider Number</t>
  </si>
  <si>
    <t>Provider</t>
  </si>
  <si>
    <t>County</t>
  </si>
  <si>
    <t>MDS Census</t>
  </si>
  <si>
    <t>RN Hours</t>
  </si>
  <si>
    <t>LPN Hours</t>
  </si>
  <si>
    <t>CNA Hours</t>
  </si>
  <si>
    <t>RN Admin Hours</t>
  </si>
  <si>
    <t>RN DON Hours</t>
  </si>
  <si>
    <t>RN Hours Contract</t>
  </si>
  <si>
    <t>LPN Hours Contract</t>
  </si>
  <si>
    <t>CNA Hours Contract</t>
  </si>
  <si>
    <t>Percent CNA Contract</t>
  </si>
  <si>
    <t>Percent RN Contract</t>
  </si>
  <si>
    <t>CNA</t>
  </si>
  <si>
    <t>HPRD</t>
  </si>
  <si>
    <t>LPN</t>
  </si>
  <si>
    <t>City</t>
  </si>
  <si>
    <t>Total Hours Nurse Staffing</t>
  </si>
  <si>
    <t>RN Hours (w/ Admin, DON)</t>
  </si>
  <si>
    <t>LPN Hours (w/ Admin)</t>
  </si>
  <si>
    <t>LPN Admin Hours</t>
  </si>
  <si>
    <t>Med Aide/Tech Hours</t>
  </si>
  <si>
    <t>Total CNA, NA in Training, Med Aide/Tech Hours</t>
  </si>
  <si>
    <t>NA in Training Hours</t>
  </si>
  <si>
    <t>Total Contract Hours</t>
  </si>
  <si>
    <t>Total Nurse Staff HPRD</t>
  </si>
  <si>
    <t>Percent Contract Hours</t>
  </si>
  <si>
    <t>Percent Med Aide/Tech Contract</t>
  </si>
  <si>
    <t>Percent NA in Training Contract</t>
  </si>
  <si>
    <t>Percent LPN Admin Contract</t>
  </si>
  <si>
    <t>Percent LPN Only Contract</t>
  </si>
  <si>
    <t>LPN Contract Hours (w/ Admin)</t>
  </si>
  <si>
    <t>Percent CNA/NA/Med Aide Contract</t>
  </si>
  <si>
    <t>CNA/NA/Med Aide Contract Hours</t>
  </si>
  <si>
    <t>Percent LPN ALL Contract</t>
  </si>
  <si>
    <t>Percent RN DON Contract</t>
  </si>
  <si>
    <t>Percent RN Admin Contract</t>
  </si>
  <si>
    <t>RN Hours Contract (W/ Admin, DON)</t>
  </si>
  <si>
    <t>Percent RN Contract ALL</t>
  </si>
  <si>
    <t>RN DON Hours Contract</t>
  </si>
  <si>
    <t>LPN Admin Hours Contract</t>
  </si>
  <si>
    <t>RN Admin Hours Contract</t>
  </si>
  <si>
    <t>Med Aide Hours Contract</t>
  </si>
  <si>
    <t>Region Number</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</si>
  <si>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</si>
  <si>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</si>
  <si>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</si>
  <si>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</si>
  <si>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</si>
  <si>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</si>
  <si>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</si>
  <si>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</si>
  <si>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</si>
  <si>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Total Social Work HPRD</t>
  </si>
  <si>
    <t>Qualified Activities Professional Hours</t>
  </si>
  <si>
    <t>Other Activities Professional Hours</t>
  </si>
  <si>
    <t>Combined Activities HPRD</t>
  </si>
  <si>
    <t>Occupational Therapist Hours</t>
  </si>
  <si>
    <t>OT Assistant Hours</t>
  </si>
  <si>
    <t>OT Aide Hours</t>
  </si>
  <si>
    <t>OT HPRD (incl. Assistant &amp; Aide)</t>
  </si>
  <si>
    <t>Physical Therapist (PT) Hours</t>
  </si>
  <si>
    <t>PT Assistant Hours</t>
  </si>
  <si>
    <t>PT Aide Hours</t>
  </si>
  <si>
    <r>
      <t>PT HPRD (incl. Assis</t>
    </r>
    <r>
      <rPr>
        <sz val="11"/>
        <color theme="1"/>
        <rFont val="Calibri"/>
        <family val="2"/>
        <scheme val="minor"/>
      </rPr>
      <t>tant &amp; Aide)</t>
    </r>
  </si>
  <si>
    <t>Mental Health Service Worker Hours</t>
  </si>
  <si>
    <t>Therapeutic Recreation Specialist</t>
  </si>
  <si>
    <t>Clinical Nurse Specialist Hours</t>
  </si>
  <si>
    <t>Feeding Assistant Hours</t>
  </si>
  <si>
    <t>Respiratory Therapy Technician Hours</t>
  </si>
  <si>
    <t>Respiratory Therapist Hours</t>
  </si>
  <si>
    <t>Other Physician Hours</t>
  </si>
  <si>
    <t>Med Aide/Tech</t>
  </si>
  <si>
    <t>Total RN HPRD</t>
  </si>
  <si>
    <t>NA in Training Hours Contract</t>
  </si>
  <si>
    <t>Med Aide/Tech Hours Contract</t>
  </si>
  <si>
    <t>Total RN</t>
  </si>
  <si>
    <t>Total Nurse Staff</t>
  </si>
  <si>
    <t>Average</t>
  </si>
  <si>
    <t>Total Facilities</t>
  </si>
  <si>
    <t>Total Residents</t>
  </si>
  <si>
    <t>NA TR</t>
  </si>
  <si>
    <t>NA TR Hours</t>
  </si>
  <si>
    <t>NA TR Hours Contract</t>
  </si>
  <si>
    <t>*</t>
  </si>
  <si>
    <t>Facility MDS Census Average</t>
  </si>
  <si>
    <t>RN Hours (excl. Admin, DON)</t>
  </si>
  <si>
    <t>LPN Hours (excl. Admin)</t>
  </si>
  <si>
    <t>Total CNA, NA TR, Med Aide/Tech Hours</t>
  </si>
  <si>
    <t>Total RN Hours (w/ Admin, DON)</t>
  </si>
  <si>
    <t>Total LPN Hours (w/ Admin)</t>
  </si>
  <si>
    <t>Total Nurse Staffing</t>
  </si>
  <si>
    <t>RN (excl. Admin, DON)</t>
  </si>
  <si>
    <t>RN Admin</t>
  </si>
  <si>
    <t>RN DON</t>
  </si>
  <si>
    <t>Total LPN</t>
  </si>
  <si>
    <t>LPN Admin</t>
  </si>
  <si>
    <t>Total Contract</t>
  </si>
  <si>
    <t>Staffing Category</t>
  </si>
  <si>
    <t>LPN (excl. Admin)</t>
  </si>
  <si>
    <t>Total CNA, NA TR, Med Aide/Tech</t>
  </si>
  <si>
    <t xml:space="preserve">RN </t>
  </si>
  <si>
    <t xml:space="preserve">RN Admin </t>
  </si>
  <si>
    <t xml:space="preserve">RN DON </t>
  </si>
  <si>
    <t xml:space="preserve">LPN </t>
  </si>
  <si>
    <t xml:space="preserve">LPN Admin </t>
  </si>
  <si>
    <t xml:space="preserve">CNA </t>
  </si>
  <si>
    <t xml:space="preserve">NA TR </t>
  </si>
  <si>
    <t xml:space="preserve">Med Aide </t>
  </si>
  <si>
    <t>Contract Hours</t>
  </si>
  <si>
    <t>RN</t>
  </si>
  <si>
    <t>Percentage of Total</t>
  </si>
  <si>
    <t>Total Contract %</t>
  </si>
  <si>
    <t>State Total</t>
  </si>
  <si>
    <t>Combined CNA, NA TR, Med Aide/Tech</t>
  </si>
  <si>
    <t>Direct Care Staff HPRD</t>
  </si>
  <si>
    <t>RN HPRD (excl. Admin/DON)</t>
  </si>
  <si>
    <t>Total Direct Care Staff Hours</t>
  </si>
  <si>
    <t>Total Direct Care Staffing</t>
  </si>
  <si>
    <t>Glossary</t>
  </si>
  <si>
    <t>Certified Nursing Assistant</t>
  </si>
  <si>
    <t>Hours Per Resident Day</t>
  </si>
  <si>
    <t>Licensed Practical Nurse</t>
  </si>
  <si>
    <t>Medication Aide</t>
  </si>
  <si>
    <t>Nurse Aide in Training</t>
  </si>
  <si>
    <t>NP</t>
  </si>
  <si>
    <t>Nurse Practitioner</t>
  </si>
  <si>
    <t>Nurse Aides</t>
  </si>
  <si>
    <t>Includes CNA, Nurse Aide in Training, Med Aide/Tech</t>
  </si>
  <si>
    <t>OT</t>
  </si>
  <si>
    <t>Occupational Therapist</t>
  </si>
  <si>
    <t>PA</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</si>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</sst>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1"/>
      <color rgb="FF000000"/>
      <name val="Calibri"/>
      <family val="2"/>
    </font>
    <font>
      <sz val="11"/>
      <color rgb="FF000000"/>
      <name val="Calibri"/>
      <family val="2"/>
    </font>
    <font>
      <sz val="8"/>
      <name val="Calibri"/>
      <family val="2"/>
      <scheme val="minor"/>
    </font>
    <font>
      <b/>
      <sz val="11"/>
      <color theme="1"/>
      <name val="Calibri"/>
      <family val="2"/>
    </font>
    <font>
      <sz val="11"/>
      <color theme="1"/>
      <name val="Calibri"/>
      <family val="2"/>
    </font>
    <font>
      <b/>
      <sz val="11"/>
      <color theme="1"/>
      <name val="Calibri"/>
      <family val="2"/>
      <scheme val="minor"/>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4">
    <border>
      <left/>
      <right/>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40">
    <xf numFmtId="0" fontId="0" fillId="0" borderId="0" xfId="0"/>
    <xf numFmtId="0" fontId="0" fillId="0" borderId="0" xfId="0"/>
    <xf numFmtId="0" fontId="2" fillId="0" borderId="0" xfId="0" applyFont="1"/>
    <xf numFmtId="4" fontId="0" fillId="0" borderId="0" xfId="0" applyNumberFormat="1"/>
    <xf numFmtId="10" fontId="0" fillId="0" borderId="0" xfId="0" applyNumberFormat="1"/>
    <xf numFmtId="0" fontId="0" fillId="0" borderId="0" xfId="0" applyAlignment="1">
      <alignment wrapText="1"/>
    </xf>
    <xf numFmtId="10" fontId="0" fillId="0" borderId="0" xfId="0" applyNumberFormat="1" applyAlignment="1">
      <alignment wrapText="1"/>
    </xf>
    <xf numFmtId="2" fontId="5" fillId="0" borderId="0" xfId="1" applyNumberFormat="1" applyFont="1" applyFill="1" applyBorder="1" applyAlignment="1">
      <alignment vertical="top"/>
    </xf>
    <xf numFmtId="0" fontId="4" fillId="0" borderId="1" xfId="1" applyFont="1" applyFill="1" applyBorder="1" applyAlignment="1">
      <alignment vertical="top" wrapText="1"/>
    </xf>
    <xf numFmtId="0" fontId="7" fillId="0" borderId="1" xfId="1" applyFont="1" applyFill="1" applyBorder="1" applyAlignment="1">
      <alignment vertical="top" wrapText="1"/>
    </xf>
    <xf numFmtId="0" fontId="7" fillId="0" borderId="3" xfId="1" applyFont="1" applyFill="1" applyBorder="1" applyAlignment="1">
      <alignment vertical="top" wrapText="1"/>
    </xf>
    <xf numFmtId="2" fontId="8" fillId="0" borderId="2" xfId="1" applyNumberFormat="1" applyFont="1" applyFill="1" applyBorder="1" applyAlignment="1">
      <alignment vertical="top"/>
    </xf>
    <xf numFmtId="3" fontId="2" fillId="0" borderId="0" xfId="0" applyNumberFormat="1" applyFont="1"/>
    <xf numFmtId="0" fontId="0" fillId="0" borderId="0" xfId="0" applyNumberFormat="1"/>
    <xf numFmtId="2" fontId="8" fillId="0" borderId="0" xfId="1" applyNumberFormat="1" applyFont="1" applyFill="1" applyBorder="1" applyAlignment="1">
      <alignment vertical="top"/>
    </xf>
    <xf numFmtId="2" fontId="3" fillId="2" borderId="0" xfId="0" applyNumberFormat="1" applyFont="1" applyFill="1" applyBorder="1" applyAlignment="1">
      <alignment horizontal="left" wrapText="1"/>
    </xf>
    <xf numFmtId="0" fontId="0" fillId="0" borderId="0" xfId="0" applyAlignment="1">
      <alignment horizontal="left" wrapText="1"/>
    </xf>
    <xf numFmtId="3" fontId="0" fillId="0" borderId="0" xfId="0" applyNumberFormat="1"/>
    <xf numFmtId="0" fontId="9" fillId="0" borderId="1" xfId="0" applyFont="1" applyFill="1" applyBorder="1"/>
    <xf numFmtId="3" fontId="5" fillId="0" borderId="4" xfId="1" applyNumberFormat="1" applyFont="1" applyFill="1" applyBorder="1" applyAlignment="1">
      <alignment vertical="top"/>
    </xf>
    <xf numFmtId="0" fontId="2" fillId="0" borderId="0" xfId="0" applyFont="1" applyAlignment="1">
      <alignment vertical="top" wrapText="1"/>
    </xf>
    <xf numFmtId="3" fontId="2" fillId="0" borderId="0" xfId="0" applyNumberFormat="1" applyFont="1" applyBorder="1"/>
    <xf numFmtId="4" fontId="2" fillId="0" borderId="0" xfId="0" applyNumberFormat="1" applyFont="1" applyBorder="1"/>
    <xf numFmtId="3" fontId="2" fillId="0" borderId="6" xfId="0" applyNumberFormat="1" applyFont="1" applyBorder="1"/>
    <xf numFmtId="10" fontId="2" fillId="0" borderId="0" xfId="0" applyNumberFormat="1" applyFont="1" applyBorder="1"/>
    <xf numFmtId="0" fontId="2" fillId="0" borderId="0" xfId="0" applyFont="1" applyAlignment="1">
      <alignment wrapText="1"/>
    </xf>
    <xf numFmtId="164" fontId="3" fillId="0" borderId="0" xfId="0" applyNumberFormat="1" applyFont="1"/>
    <xf numFmtId="3" fontId="10" fillId="0" borderId="0" xfId="0" applyNumberFormat="1" applyFont="1"/>
    <xf numFmtId="3" fontId="3" fillId="0" borderId="0" xfId="0" applyNumberFormat="1" applyFont="1"/>
    <xf numFmtId="3" fontId="10" fillId="0" borderId="5" xfId="0" applyNumberFormat="1" applyFont="1" applyBorder="1"/>
    <xf numFmtId="0" fontId="11" fillId="3" borderId="7" xfId="0" applyFont="1" applyFill="1" applyBorder="1"/>
    <xf numFmtId="0" fontId="2" fillId="3" borderId="8" xfId="0" applyFont="1" applyFill="1" applyBorder="1"/>
    <xf numFmtId="0" fontId="2" fillId="0" borderId="9" xfId="0" applyFont="1" applyBorder="1"/>
    <xf numFmtId="0" fontId="2" fillId="0" borderId="10" xfId="0" applyFont="1" applyBorder="1"/>
    <xf numFmtId="0" fontId="2" fillId="0" borderId="11" xfId="0" applyFont="1" applyBorder="1"/>
    <xf numFmtId="0" fontId="2" fillId="0" borderId="1" xfId="0" applyFont="1" applyBorder="1"/>
    <xf numFmtId="0" fontId="2" fillId="0" borderId="4" xfId="0" applyFont="1" applyBorder="1"/>
    <xf numFmtId="0" fontId="12" fillId="0" borderId="0" xfId="1" applyFont="1" applyAlignment="1">
      <alignment horizontal="left" vertical="top" wrapText="1"/>
    </xf>
    <xf numFmtId="0" fontId="2" fillId="0" borderId="12" xfId="0" applyFont="1" applyBorder="1"/>
    <xf numFmtId="0" fontId="2" fillId="0" borderId="13" xfId="0" applyFont="1" applyBorder="1"/>
  </cellXfs>
  <cellStyles count="3">
    <cellStyle name="Normal" xfId="0" builtinId="0"/>
    <cellStyle name="Normal 2 2" xfId="1" xr:uid="{952B52B9-4FE2-47DC-AB61-CD1941C163DC}"/>
    <cellStyle name="Normal 4" xfId="2" xr:uid="{9C2EC031-98F8-4804-98A7-7A9C0B276BFF}"/>
  </cellStyles>
  <dxfs count="119">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3" formatCode="#,##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colors>
    <mruColors>
      <color rgb="FFA22E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State Staff Time by Position</a:t>
            </a:r>
          </a:p>
        </c:rich>
      </c:tx>
      <c:layout>
        <c:manualLayout>
          <c:xMode val="edge"/>
          <c:yMode val="edge"/>
          <c:x val="0.1689610212905365"/>
          <c:y val="2.6496674652428602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8.7016704240439183E-2"/>
          <c:y val="0.18764735994959614"/>
          <c:w val="0.55104876215913534"/>
          <c:h val="0.79028568756491224"/>
        </c:manualLayout>
      </c:layout>
      <c:doughnutChart>
        <c:varyColors val="1"/>
        <c:ser>
          <c:idx val="0"/>
          <c:order val="0"/>
          <c:explosion val="2"/>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86E2-4BA2-9EEB-BB9557D50147}"/>
              </c:ext>
            </c:extLst>
          </c:dPt>
          <c:dPt>
            <c:idx val="1"/>
            <c:bubble3D val="0"/>
            <c:spPr>
              <a:solidFill>
                <a:schemeClr val="accent1">
                  <a:lumMod val="40000"/>
                  <a:lumOff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86E2-4BA2-9EEB-BB9557D50147}"/>
              </c:ext>
            </c:extLst>
          </c:dPt>
          <c:dPt>
            <c:idx val="2"/>
            <c:bubble3D val="0"/>
            <c:spPr>
              <a:solidFill>
                <a:schemeClr val="accent1">
                  <a:lumMod val="20000"/>
                  <a:lumOff val="8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86E2-4BA2-9EEB-BB9557D50147}"/>
              </c:ext>
            </c:extLst>
          </c:dPt>
          <c:dPt>
            <c:idx val="3"/>
            <c:bubble3D val="0"/>
            <c:spPr>
              <a:solidFill>
                <a:schemeClr val="tx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86E2-4BA2-9EEB-BB9557D50147}"/>
              </c:ext>
            </c:extLst>
          </c:dPt>
          <c:dPt>
            <c:idx val="4"/>
            <c:bubble3D val="0"/>
            <c:spPr>
              <a:solidFill>
                <a:schemeClr val="tx1">
                  <a:lumMod val="50000"/>
                  <a:lumOff val="5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86E2-4BA2-9EEB-BB9557D50147}"/>
              </c:ext>
            </c:extLst>
          </c:dPt>
          <c:dPt>
            <c:idx val="5"/>
            <c:bubble3D val="0"/>
            <c:spPr>
              <a:solidFill>
                <a:schemeClr val="accent6">
                  <a:lumMod val="5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86E2-4BA2-9EEB-BB9557D50147}"/>
              </c:ext>
            </c:extLst>
          </c:dPt>
          <c:dPt>
            <c:idx val="6"/>
            <c:bubble3D val="0"/>
            <c:spPr>
              <a:solidFill>
                <a:schemeClr val="accent6">
                  <a:lumMod val="7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86E2-4BA2-9EEB-BB9557D50147}"/>
              </c:ext>
            </c:extLst>
          </c:dPt>
          <c:dPt>
            <c:idx val="7"/>
            <c:bubble3D val="0"/>
            <c:spPr>
              <a:solidFill>
                <a:schemeClr val="accent6">
                  <a:lumMod val="40000"/>
                  <a:lumOff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86E2-4BA2-9EEB-BB9557D5014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('Summary Data'!$F$6,'Summary Data'!$F$7,'Summary Data'!$F$8,'Summary Data'!$F$10,'Summary Data'!$F$11,'Summary Data'!$F$13,'Summary Data'!$F$14,'Summary Data'!$F$15)</c:f>
              <c:strCache>
                <c:ptCount val="8"/>
                <c:pt idx="0">
                  <c:v>RN (excl. Admin, DON)</c:v>
                </c:pt>
                <c:pt idx="1">
                  <c:v>RN Admin</c:v>
                </c:pt>
                <c:pt idx="2">
                  <c:v>RN DON</c:v>
                </c:pt>
                <c:pt idx="3">
                  <c:v>LPN (excl. Admin)</c:v>
                </c:pt>
                <c:pt idx="4">
                  <c:v>LPN Admin</c:v>
                </c:pt>
                <c:pt idx="5">
                  <c:v>CNA</c:v>
                </c:pt>
                <c:pt idx="6">
                  <c:v>NA TR</c:v>
                </c:pt>
                <c:pt idx="7">
                  <c:v>Med Aide/Tech</c:v>
                </c:pt>
              </c:strCache>
            </c:strRef>
          </c:cat>
          <c:val>
            <c:numRef>
              <c:f>('Summary Data'!$G$6,'Summary Data'!$G$7,'Summary Data'!$G$8,'Summary Data'!$G$10,'Summary Data'!$G$11,'Summary Data'!$G$13,'Summary Data'!$G$14,'Summary Data'!$G$15)</c:f>
              <c:numCache>
                <c:formatCode>#,##0</c:formatCode>
                <c:ptCount val="8"/>
                <c:pt idx="0">
                  <c:v>3325.6605555555552</c:v>
                </c:pt>
                <c:pt idx="1">
                  <c:v>1263.4508888888888</c:v>
                </c:pt>
                <c:pt idx="2">
                  <c:v>629.7615555555559</c:v>
                </c:pt>
                <c:pt idx="3">
                  <c:v>5458.2191111111124</c:v>
                </c:pt>
                <c:pt idx="4">
                  <c:v>546.76088888888876</c:v>
                </c:pt>
                <c:pt idx="5">
                  <c:v>17496.101777777778</c:v>
                </c:pt>
                <c:pt idx="6">
                  <c:v>985.72300000000018</c:v>
                </c:pt>
                <c:pt idx="7">
                  <c:v>1841.7952222222225</c:v>
                </c:pt>
              </c:numCache>
            </c:numRef>
          </c:val>
          <c:extLst>
            <c:ext xmlns:c16="http://schemas.microsoft.com/office/drawing/2014/chart" uri="{C3380CC4-5D6E-409C-BE32-E72D297353CC}">
              <c16:uniqueId val="{00000010-86E2-4BA2-9EEB-BB9557D5014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4225250089965988"/>
          <c:y val="0.46905408392917908"/>
          <c:w val="0.24113970287288772"/>
          <c:h val="0.52137183845462154"/>
        </c:manualLayout>
      </c:layout>
      <c:overlay val="0"/>
      <c:spPr>
        <a:solidFill>
          <a:schemeClr val="bg1">
            <a:lumMod val="95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microsoft.com/office/2011/relationships/webextension" Target="../webextensions/webextension1.xml"/></Relationships>
</file>

<file path=xl/drawings/drawing1.xml><?xml version="1.0" encoding="utf-8"?>
<xdr:wsDr xmlns:xdr="http://schemas.openxmlformats.org/drawingml/2006/spreadsheetDrawing" xmlns:a="http://schemas.openxmlformats.org/drawingml/2006/main">
  <xdr:twoCellAnchor>
    <xdr:from>
      <xdr:col>9</xdr:col>
      <xdr:colOff>888999</xdr:colOff>
      <xdr:row>0</xdr:row>
      <xdr:rowOff>87309</xdr:rowOff>
    </xdr:from>
    <xdr:to>
      <xdr:col>32</xdr:col>
      <xdr:colOff>314327</xdr:colOff>
      <xdr:row>0</xdr:row>
      <xdr:rowOff>555622</xdr:rowOff>
    </xdr:to>
    <xdr:sp macro="" textlink="">
      <xdr:nvSpPr>
        <xdr:cNvPr id="8" name="TextBox 7">
          <a:extLst>
            <a:ext uri="{FF2B5EF4-FFF2-40B4-BE49-F238E27FC236}">
              <a16:creationId xmlns:a16="http://schemas.microsoft.com/office/drawing/2014/main" id="{59CA6649-D78C-4311-9958-9D83F2FCF0B6}"/>
            </a:ext>
          </a:extLst>
        </xdr:cNvPr>
        <xdr:cNvSpPr txBox="1"/>
      </xdr:nvSpPr>
      <xdr:spPr>
        <a:xfrm>
          <a:off x="8374062" y="87309"/>
          <a:ext cx="2132015" cy="46831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xdr:from>
      <xdr:col>4</xdr:col>
      <xdr:colOff>79374</xdr:colOff>
      <xdr:row>0</xdr:row>
      <xdr:rowOff>39679</xdr:rowOff>
    </xdr:from>
    <xdr:to>
      <xdr:col>9</xdr:col>
      <xdr:colOff>650874</xdr:colOff>
      <xdr:row>0</xdr:row>
      <xdr:rowOff>1063625</xdr:rowOff>
    </xdr:to>
    <xdr:sp macro="" textlink="">
      <xdr:nvSpPr>
        <xdr:cNvPr id="5" name="TextBox 4">
          <a:extLst>
            <a:ext uri="{FF2B5EF4-FFF2-40B4-BE49-F238E27FC236}">
              <a16:creationId xmlns:a16="http://schemas.microsoft.com/office/drawing/2014/main" id="{7B6B7176-2DE2-4ADB-87B2-03A3E16B9B13}"/>
            </a:ext>
          </a:extLst>
        </xdr:cNvPr>
        <xdr:cNvSpPr txBox="1"/>
      </xdr:nvSpPr>
      <xdr:spPr>
        <a:xfrm>
          <a:off x="5072062" y="39679"/>
          <a:ext cx="3667125" cy="1023946"/>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br>
            <a:rPr lang="en-US" sz="1100" b="0" baseline="0"/>
          </a:br>
          <a:r>
            <a:rPr lang="en-US" sz="1100" b="0" i="1" baseline="0"/>
            <a:t>Example: A nursing home averaging 300 total nurse staff hours and 100 residents per day would have a 3.0 Total Nurse Staff HPRD (300/100 = 3.0)</a:t>
          </a:r>
          <a:endParaRPr lang="en-US" sz="1100" i="1"/>
        </a:p>
      </xdr:txBody>
    </xdr:sp>
    <xdr:clientData/>
  </xdr:twoCellAnchor>
  <xdr:twoCellAnchor editAs="absolute">
    <xdr:from>
      <xdr:col>1</xdr:col>
      <xdr:colOff>25400</xdr:colOff>
      <xdr:row>0</xdr:row>
      <xdr:rowOff>79374</xdr:rowOff>
    </xdr:from>
    <xdr:to>
      <xdr:col>1</xdr:col>
      <xdr:colOff>1705770</xdr:colOff>
      <xdr:row>0</xdr:row>
      <xdr:rowOff>1524000</xdr:rowOff>
    </xdr:to>
    <mc:AlternateContent xmlns:mc="http://schemas.openxmlformats.org/markup-compatibility/2006" xmlns:sle15="http://schemas.microsoft.com/office/drawing/2012/slicer">
      <mc:Choice Requires="sle15">
        <xdr:graphicFrame macro="">
          <xdr:nvGraphicFramePr>
            <xdr:cNvPr id="7" name="County">
              <a:extLst>
                <a:ext uri="{FF2B5EF4-FFF2-40B4-BE49-F238E27FC236}">
                  <a16:creationId xmlns:a16="http://schemas.microsoft.com/office/drawing/2014/main" id="{63B596C3-D495-4B1D-8FA5-D8CC5AE71F21}"/>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560389" y="79374"/>
              <a:ext cx="1392238" cy="140493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202406</xdr:colOff>
      <xdr:row>0</xdr:row>
      <xdr:rowOff>154781</xdr:rowOff>
    </xdr:from>
    <xdr:to>
      <xdr:col>42</xdr:col>
      <xdr:colOff>738188</xdr:colOff>
      <xdr:row>0</xdr:row>
      <xdr:rowOff>440531</xdr:rowOff>
    </xdr:to>
    <xdr:sp macro="" textlink="">
      <xdr:nvSpPr>
        <xdr:cNvPr id="6" name="TextBox 5">
          <a:extLst>
            <a:ext uri="{FF2B5EF4-FFF2-40B4-BE49-F238E27FC236}">
              <a16:creationId xmlns:a16="http://schemas.microsoft.com/office/drawing/2014/main" id="{B4CFACC9-897D-4F47-8A5D-B9481886B9CC}"/>
            </a:ext>
          </a:extLst>
        </xdr:cNvPr>
        <xdr:cNvSpPr txBox="1"/>
      </xdr:nvSpPr>
      <xdr:spPr>
        <a:xfrm>
          <a:off x="9600406" y="154781"/>
          <a:ext cx="3178970" cy="285750"/>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p>
        <a:p>
          <a:r>
            <a:rPr lang="en-US" sz="1100" baseline="0"/>
            <a:t>.</a:t>
          </a:r>
          <a:endParaRPr lang="en-US" sz="1100"/>
        </a:p>
      </xdr:txBody>
    </xdr:sp>
    <xdr:clientData/>
  </xdr:twoCellAnchor>
  <xdr:twoCellAnchor editAs="absolute">
    <xdr:from>
      <xdr:col>1</xdr:col>
      <xdr:colOff>9524</xdr:colOff>
      <xdr:row>0</xdr:row>
      <xdr:rowOff>103188</xdr:rowOff>
    </xdr:from>
    <xdr:to>
      <xdr:col>1</xdr:col>
      <xdr:colOff>1714500</xdr:colOff>
      <xdr:row>0</xdr:row>
      <xdr:rowOff>1531938</xdr:rowOff>
    </xdr:to>
    <mc:AlternateContent xmlns:mc="http://schemas.openxmlformats.org/markup-compatibility/2006" xmlns:sle15="http://schemas.microsoft.com/office/drawing/2012/slicer">
      <mc:Choice Requires="sle15">
        <xdr:graphicFrame macro="">
          <xdr:nvGraphicFramePr>
            <xdr:cNvPr id="2" name="County 1">
              <a:extLst>
                <a:ext uri="{FF2B5EF4-FFF2-40B4-BE49-F238E27FC236}">
                  <a16:creationId xmlns:a16="http://schemas.microsoft.com/office/drawing/2014/main" id="{BD82DE43-63C7-45F9-B4D9-56B532DE2D30}"/>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548480" y="106363"/>
              <a:ext cx="1701801" cy="14287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217485</xdr:colOff>
      <xdr:row>0</xdr:row>
      <xdr:rowOff>330201</xdr:rowOff>
    </xdr:from>
    <xdr:to>
      <xdr:col>25</xdr:col>
      <xdr:colOff>833436</xdr:colOff>
      <xdr:row>0</xdr:row>
      <xdr:rowOff>595312</xdr:rowOff>
    </xdr:to>
    <xdr:sp macro="" textlink="">
      <xdr:nvSpPr>
        <xdr:cNvPr id="5" name="TextBox 4">
          <a:extLst>
            <a:ext uri="{FF2B5EF4-FFF2-40B4-BE49-F238E27FC236}">
              <a16:creationId xmlns:a16="http://schemas.microsoft.com/office/drawing/2014/main" id="{ED0FBAA7-B83D-4430-9AF3-348DCE85AB17}"/>
            </a:ext>
          </a:extLst>
        </xdr:cNvPr>
        <xdr:cNvSpPr txBox="1"/>
      </xdr:nvSpPr>
      <xdr:spPr>
        <a:xfrm>
          <a:off x="11516516" y="330201"/>
          <a:ext cx="3259139" cy="265111"/>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absolute">
    <xdr:from>
      <xdr:col>0</xdr:col>
      <xdr:colOff>535780</xdr:colOff>
      <xdr:row>0</xdr:row>
      <xdr:rowOff>139700</xdr:rowOff>
    </xdr:from>
    <xdr:to>
      <xdr:col>1</xdr:col>
      <xdr:colOff>1726406</xdr:colOff>
      <xdr:row>0</xdr:row>
      <xdr:rowOff>1579563</xdr:rowOff>
    </xdr:to>
    <mc:AlternateContent xmlns:mc="http://schemas.openxmlformats.org/markup-compatibility/2006" xmlns:sle15="http://schemas.microsoft.com/office/drawing/2012/slicer">
      <mc:Choice Requires="sle15">
        <xdr:graphicFrame macro="">
          <xdr:nvGraphicFramePr>
            <xdr:cNvPr id="2" name="County 2">
              <a:extLst>
                <a:ext uri="{FF2B5EF4-FFF2-40B4-BE49-F238E27FC236}">
                  <a16:creationId xmlns:a16="http://schemas.microsoft.com/office/drawing/2014/main" id="{974FE6BA-A04F-4A6E-9133-FC0D33418DA8}"/>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531812" y="142875"/>
              <a:ext cx="1785938" cy="143668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202825</xdr:colOff>
      <xdr:row>0</xdr:row>
      <xdr:rowOff>76200</xdr:rowOff>
    </xdr:from>
    <xdr:to>
      <xdr:col>10</xdr:col>
      <xdr:colOff>285750</xdr:colOff>
      <xdr:row>22</xdr:row>
      <xdr:rowOff>2985</xdr:rowOff>
    </xdr:to>
    <mc:AlternateContent xmlns:mc="http://schemas.openxmlformats.org/markup-compatibility/2006">
      <mc:Choice xmlns:we="http://schemas.microsoft.com/office/webextensions/webextension/2010/11" Requires="we">
        <xdr:graphicFrame macro="">
          <xdr:nvGraphicFramePr>
            <xdr:cNvPr id="2" name="Add-in 1" title="People Graph">
              <a:extLst>
                <a:ext uri="{FF2B5EF4-FFF2-40B4-BE49-F238E27FC236}">
                  <a16:creationId xmlns:a16="http://schemas.microsoft.com/office/drawing/2014/main" id="{2A5CF55E-C8AB-46AF-8527-CEFB5615391D}"/>
                </a:ext>
              </a:extLst>
            </xdr:cNvPr>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1"/>
            </a:graphicData>
          </a:graphic>
        </xdr:graphicFrame>
      </mc:Choice>
      <mc:Fallback>
        <xdr:pic>
          <xdr:nvPicPr>
            <xdr:cNvPr id="2" name="Add-in 1" title="People Graph">
              <a:extLst>
                <a:ext uri="{FF2B5EF4-FFF2-40B4-BE49-F238E27FC236}">
                  <a16:creationId xmlns:a16="http://schemas.microsoft.com/office/drawing/2014/main" id="{2A5CF55E-C8AB-46AF-8527-CEFB5615391D}"/>
                </a:ext>
              </a:extLst>
            </xdr:cNvPr>
            <xdr:cNvPicPr/>
          </xdr:nvPicPr>
          <xdr:blipFill>
            <a:blip xmlns:r="http://schemas.openxmlformats.org/officeDocument/2006/relationships" r:embed="rId2"/>
            <a:stretch>
              <a:fillRect/>
            </a:stretch>
          </xdr:blipFill>
          <xdr:spPr>
            <a:prstGeom prst="rect">
              <a:avLst/>
            </a:prstGeom>
          </xdr:spPr>
        </xdr:pic>
      </mc:Fallback>
    </mc:AlternateContent>
    <xdr:clientData/>
  </xdr:twoCellAnchor>
  <xdr:twoCellAnchor>
    <xdr:from>
      <xdr:col>5</xdr:col>
      <xdr:colOff>190262</xdr:colOff>
      <xdr:row>10</xdr:row>
      <xdr:rowOff>30960</xdr:rowOff>
    </xdr:from>
    <xdr:to>
      <xdr:col>10</xdr:col>
      <xdr:colOff>47272</xdr:colOff>
      <xdr:row>17</xdr:row>
      <xdr:rowOff>44801</xdr:rowOff>
    </xdr:to>
    <xdr:sp macro="" textlink="">
      <xdr:nvSpPr>
        <xdr:cNvPr id="5" name="TextBox 4">
          <a:extLst>
            <a:ext uri="{FF2B5EF4-FFF2-40B4-BE49-F238E27FC236}">
              <a16:creationId xmlns:a16="http://schemas.microsoft.com/office/drawing/2014/main" id="{A156E356-492A-4426-B996-8C02636262BC}"/>
            </a:ext>
          </a:extLst>
        </xdr:cNvPr>
        <xdr:cNvSpPr txBox="1"/>
      </xdr:nvSpPr>
      <xdr:spPr>
        <a:xfrm>
          <a:off x="3238262" y="1840710"/>
          <a:ext cx="2905010" cy="1280666"/>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200"/>
            <a:t>Nursing home residents require </a:t>
          </a:r>
          <a:r>
            <a:rPr lang="en-US" sz="1200" b="0" i="0">
              <a:solidFill>
                <a:schemeClr val="dk1"/>
              </a:solidFill>
              <a:effectLst/>
              <a:latin typeface="+mn-lt"/>
              <a:ea typeface="+mn-ea"/>
              <a:cs typeface="+mn-cs"/>
            </a:rPr>
            <a:t>at least </a:t>
          </a:r>
          <a:r>
            <a:rPr lang="en-US" sz="2000" b="1" i="0">
              <a:solidFill>
                <a:srgbClr val="A22E65"/>
              </a:solidFill>
              <a:effectLst/>
              <a:latin typeface="+mn-lt"/>
              <a:ea typeface="+mn-ea"/>
              <a:cs typeface="+mn-cs"/>
            </a:rPr>
            <a:t>4.10 total nurse staff hours and</a:t>
          </a:r>
          <a:r>
            <a:rPr lang="en-US" sz="2000" b="0" i="0">
              <a:solidFill>
                <a:srgbClr val="A22E65"/>
              </a:solidFill>
              <a:effectLst/>
              <a:latin typeface="+mn-lt"/>
              <a:ea typeface="+mn-ea"/>
              <a:cs typeface="+mn-cs"/>
            </a:rPr>
            <a:t> </a:t>
          </a:r>
          <a:r>
            <a:rPr lang="en-US" sz="2000" b="1" i="0">
              <a:solidFill>
                <a:srgbClr val="A22E65"/>
              </a:solidFill>
              <a:effectLst/>
              <a:latin typeface="+mn-lt"/>
              <a:ea typeface="+mn-ea"/>
              <a:cs typeface="+mn-cs"/>
            </a:rPr>
            <a:t>0.75 RN hours</a:t>
          </a:r>
          <a:r>
            <a:rPr lang="en-US" sz="2000" b="0" i="0">
              <a:solidFill>
                <a:srgbClr val="A22E65"/>
              </a:solidFill>
              <a:effectLst/>
              <a:latin typeface="+mn-lt"/>
              <a:ea typeface="+mn-ea"/>
              <a:cs typeface="+mn-cs"/>
            </a:rPr>
            <a:t> </a:t>
          </a:r>
          <a:r>
            <a:rPr lang="en-US" sz="1200" b="0" i="0">
              <a:solidFill>
                <a:schemeClr val="dk1"/>
              </a:solidFill>
              <a:effectLst/>
              <a:latin typeface="+mn-lt"/>
              <a:ea typeface="+mn-ea"/>
              <a:cs typeface="+mn-cs"/>
            </a:rPr>
            <a:t>t</a:t>
          </a:r>
          <a:r>
            <a:rPr lang="en-US" sz="1200" b="0" i="0" baseline="0">
              <a:solidFill>
                <a:schemeClr val="dk1"/>
              </a:solidFill>
              <a:effectLst/>
              <a:latin typeface="+mn-lt"/>
              <a:ea typeface="+mn-ea"/>
              <a:cs typeface="+mn-cs"/>
            </a:rPr>
            <a:t>o receive </a:t>
          </a:r>
          <a:r>
            <a:rPr lang="en-US" sz="1200" b="0" i="0">
              <a:solidFill>
                <a:schemeClr val="dk1"/>
              </a:solidFill>
              <a:effectLst/>
              <a:latin typeface="+mn-lt"/>
              <a:ea typeface="+mn-ea"/>
              <a:cs typeface="+mn-cs"/>
            </a:rPr>
            <a:t>sufficient clinical care, according to a landmark 2001 federal study.</a:t>
          </a:r>
          <a:endParaRPr lang="en-US" sz="1200"/>
        </a:p>
      </xdr:txBody>
    </xdr:sp>
    <xdr:clientData/>
  </xdr:twoCellAnchor>
  <xdr:twoCellAnchor>
    <xdr:from>
      <xdr:col>0</xdr:col>
      <xdr:colOff>221588</xdr:colOff>
      <xdr:row>22</xdr:row>
      <xdr:rowOff>158752</xdr:rowOff>
    </xdr:from>
    <xdr:to>
      <xdr:col>9</xdr:col>
      <xdr:colOff>465667</xdr:colOff>
      <xdr:row>25</xdr:row>
      <xdr:rowOff>135469</xdr:rowOff>
    </xdr:to>
    <xdr:sp macro="" textlink="">
      <xdr:nvSpPr>
        <xdr:cNvPr id="8" name="TextBox 7">
          <a:extLst>
            <a:ext uri="{FF2B5EF4-FFF2-40B4-BE49-F238E27FC236}">
              <a16:creationId xmlns:a16="http://schemas.microsoft.com/office/drawing/2014/main" id="{B55B1D12-AB2C-40C4-A54B-381393530453}"/>
            </a:ext>
          </a:extLst>
        </xdr:cNvPr>
        <xdr:cNvSpPr txBox="1"/>
      </xdr:nvSpPr>
      <xdr:spPr>
        <a:xfrm>
          <a:off x="221588" y="4116919"/>
          <a:ext cx="5768579" cy="516467"/>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t>HPRD</a:t>
          </a:r>
          <a:r>
            <a:rPr lang="en-US" sz="900" b="0" baseline="0"/>
            <a:t> (Hours Per Resident Day) is calculated by dividing daily staff hours by resident census. </a:t>
          </a:r>
          <a:br>
            <a:rPr lang="en-US" sz="900" b="0" i="1" baseline="0"/>
          </a:br>
          <a:r>
            <a:rPr lang="en-US" sz="900" b="0" i="1" baseline="0"/>
            <a:t>Example: A nursing home averaging 300 total nurse staff hours and 100 residents would have 3.0 total nurse staff HPRD (300/100 = 3.0).</a:t>
          </a:r>
          <a:endParaRPr lang="en-US" sz="900" i="1"/>
        </a:p>
      </xdr:txBody>
    </xdr:sp>
    <xdr:clientData/>
  </xdr:twoCellAnchor>
  <xdr:twoCellAnchor>
    <xdr:from>
      <xdr:col>0</xdr:col>
      <xdr:colOff>226481</xdr:colOff>
      <xdr:row>26</xdr:row>
      <xdr:rowOff>56653</xdr:rowOff>
    </xdr:from>
    <xdr:to>
      <xdr:col>9</xdr:col>
      <xdr:colOff>448732</xdr:colOff>
      <xdr:row>29</xdr:row>
      <xdr:rowOff>49917</xdr:rowOff>
    </xdr:to>
    <xdr:sp macro="" textlink="">
      <xdr:nvSpPr>
        <xdr:cNvPr id="10" name="TextBox 9">
          <a:extLst>
            <a:ext uri="{FF2B5EF4-FFF2-40B4-BE49-F238E27FC236}">
              <a16:creationId xmlns:a16="http://schemas.microsoft.com/office/drawing/2014/main" id="{4203CC6C-8975-4DBD-A22E-26B5BE2B02E8}"/>
            </a:ext>
          </a:extLst>
        </xdr:cNvPr>
        <xdr:cNvSpPr txBox="1"/>
      </xdr:nvSpPr>
      <xdr:spPr>
        <a:xfrm>
          <a:off x="226481" y="4762003"/>
          <a:ext cx="5708651" cy="53618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i="0">
              <a:solidFill>
                <a:schemeClr val="dk1"/>
              </a:solidFill>
              <a:effectLst/>
              <a:latin typeface="+mn-lt"/>
              <a:ea typeface="+mn-ea"/>
              <a:cs typeface="+mn-cs"/>
            </a:rPr>
            <a:t>Note: Total Nurse Staff hours combine hours from RNs (incl. Admin &amp; DON), LPNs (incl. Admin), CNAs, Med Aide/Tech, and NA in Training. RN Staff HPRD includes RN Admin &amp; RN DON unless indicated otherwise.</a:t>
          </a:r>
          <a:r>
            <a:rPr lang="en-US" sz="900" b="0" i="0" baseline="0">
              <a:solidFill>
                <a:schemeClr val="dk1"/>
              </a:solidFill>
              <a:effectLst/>
              <a:latin typeface="+mn-lt"/>
              <a:ea typeface="+mn-ea"/>
              <a:cs typeface="+mn-cs"/>
            </a:rPr>
            <a:t> </a:t>
          </a:r>
          <a:r>
            <a:rPr lang="en-US" sz="900" b="0" i="0">
              <a:solidFill>
                <a:schemeClr val="dk1"/>
              </a:solidFill>
              <a:effectLst/>
              <a:latin typeface="+mn-lt"/>
              <a:ea typeface="+mn-ea"/>
              <a:cs typeface="+mn-cs"/>
            </a:rPr>
            <a:t>Previous LTCCC staffing reports cited "Direct Care Staff HPRD" which excluded Admin &amp; DON, Med Aide/Tech, and NA in Training.</a:t>
          </a:r>
          <a:endParaRPr lang="en-US" sz="900" b="0"/>
        </a:p>
      </xdr:txBody>
    </xdr:sp>
    <xdr:clientData/>
  </xdr:twoCellAnchor>
  <xdr:twoCellAnchor>
    <xdr:from>
      <xdr:col>11</xdr:col>
      <xdr:colOff>602171</xdr:colOff>
      <xdr:row>0</xdr:row>
      <xdr:rowOff>105595</xdr:rowOff>
    </xdr:from>
    <xdr:to>
      <xdr:col>21</xdr:col>
      <xdr:colOff>295274</xdr:colOff>
      <xdr:row>23</xdr:row>
      <xdr:rowOff>29634</xdr:rowOff>
    </xdr:to>
    <xdr:grpSp>
      <xdr:nvGrpSpPr>
        <xdr:cNvPr id="6" name="Group 5">
          <a:extLst>
            <a:ext uri="{FF2B5EF4-FFF2-40B4-BE49-F238E27FC236}">
              <a16:creationId xmlns:a16="http://schemas.microsoft.com/office/drawing/2014/main" id="{CE1B8786-1340-462A-B428-7587AFACAD65}"/>
            </a:ext>
          </a:extLst>
        </xdr:cNvPr>
        <xdr:cNvGrpSpPr/>
      </xdr:nvGrpSpPr>
      <xdr:grpSpPr>
        <a:xfrm>
          <a:off x="8006271" y="105595"/>
          <a:ext cx="6424103" cy="4305539"/>
          <a:chOff x="7304596" y="102205"/>
          <a:chExt cx="5795453" cy="4089641"/>
        </a:xfrm>
      </xdr:grpSpPr>
      <xdr:graphicFrame macro="">
        <xdr:nvGraphicFramePr>
          <xdr:cNvPr id="9" name="Chart 8">
            <a:extLst>
              <a:ext uri="{FF2B5EF4-FFF2-40B4-BE49-F238E27FC236}">
                <a16:creationId xmlns:a16="http://schemas.microsoft.com/office/drawing/2014/main" id="{F3026CC1-2A2E-498F-901B-483D6D6E5434}"/>
              </a:ext>
            </a:extLst>
          </xdr:cNvPr>
          <xdr:cNvGraphicFramePr>
            <a:graphicFrameLocks/>
          </xdr:cNvGraphicFramePr>
        </xdr:nvGraphicFramePr>
        <xdr:xfrm>
          <a:off x="7304596" y="102205"/>
          <a:ext cx="5795453" cy="4089641"/>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1" name="TextBox 1">
            <a:extLst>
              <a:ext uri="{FF2B5EF4-FFF2-40B4-BE49-F238E27FC236}">
                <a16:creationId xmlns:a16="http://schemas.microsoft.com/office/drawing/2014/main" id="{95B1FA83-A512-463B-AB46-DBB74A4A81D1}"/>
              </a:ext>
            </a:extLst>
          </xdr:cNvPr>
          <xdr:cNvSpPr txBox="1"/>
        </xdr:nvSpPr>
        <xdr:spPr>
          <a:xfrm>
            <a:off x="11554128" y="989543"/>
            <a:ext cx="1515534" cy="64558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1">
                <a:solidFill>
                  <a:schemeClr val="accent1"/>
                </a:solidFill>
              </a:rPr>
              <a:t>All RN - Blue</a:t>
            </a:r>
            <a:br>
              <a:rPr lang="en-US" sz="1100" b="1">
                <a:solidFill>
                  <a:schemeClr val="accent6">
                    <a:lumMod val="50000"/>
                  </a:schemeClr>
                </a:solidFill>
              </a:rPr>
            </a:br>
            <a:r>
              <a:rPr lang="en-US" sz="1100" b="1">
                <a:solidFill>
                  <a:schemeClr val="tx1"/>
                </a:solidFill>
              </a:rPr>
              <a:t>All LPN - Black/Grey</a:t>
            </a:r>
            <a:br>
              <a:rPr lang="en-US" sz="1100" b="1">
                <a:solidFill>
                  <a:schemeClr val="accent6">
                    <a:lumMod val="50000"/>
                  </a:schemeClr>
                </a:solidFill>
              </a:rPr>
            </a:br>
            <a:r>
              <a:rPr lang="en-US" sz="1100" b="1">
                <a:solidFill>
                  <a:schemeClr val="accent6">
                    <a:lumMod val="50000"/>
                  </a:schemeClr>
                </a:solidFill>
              </a:rPr>
              <a:t>CNA/NA/Med - Green</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193673</xdr:colOff>
      <xdr:row>0</xdr:row>
      <xdr:rowOff>159203</xdr:rowOff>
    </xdr:from>
    <xdr:to>
      <xdr:col>0</xdr:col>
      <xdr:colOff>6798807</xdr:colOff>
      <xdr:row>42</xdr:row>
      <xdr:rowOff>59985</xdr:rowOff>
    </xdr:to>
    <xdr:sp macro="" textlink="">
      <xdr:nvSpPr>
        <xdr:cNvPr id="3" name="TextBox 2">
          <a:extLst>
            <a:ext uri="{FF2B5EF4-FFF2-40B4-BE49-F238E27FC236}">
              <a16:creationId xmlns:a16="http://schemas.microsoft.com/office/drawing/2014/main" id="{7B946E76-21F0-4E71-8D09-426C22E8F032}"/>
            </a:ext>
          </a:extLst>
        </xdr:cNvPr>
        <xdr:cNvSpPr txBox="1"/>
      </xdr:nvSpPr>
      <xdr:spPr>
        <a:xfrm>
          <a:off x="193673" y="159203"/>
          <a:ext cx="6605134" cy="866378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HPRD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has been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offices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2021 staffing report, visit https://nursinghome411.org/staffing-q1-2021/.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Q1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Q1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 Instruments/NursingHomeQualityInits/Downloads/PBJ-Policy-Manual-Final-V25-11-19-2018.pdf</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D83DE04E-40D4-4337-919B-B64335B4995B}" sourceName="County">
  <extLst>
    <x:ext xmlns:x15="http://schemas.microsoft.com/office/spreadsheetml/2010/11/main" uri="{2F2917AC-EB37-4324-AD4E-5DD8C200BD13}">
      <x15:tableSlicerCache tableId="3" column="5"/>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7083A313-A703-4C8C-B837-B10941335828}" sourceName="County">
  <extLst>
    <x:ext xmlns:x15="http://schemas.microsoft.com/office/spreadsheetml/2010/11/main" uri="{2F2917AC-EB37-4324-AD4E-5DD8C200BD13}">
      <x15:tableSlicerCache tableId="8" column="5"/>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6A5DE06E-BF00-45F8-A8C2-5B8565D5A624}" sourceName="County">
  <extLst>
    <x:ext xmlns:x15="http://schemas.microsoft.com/office/spreadsheetml/2010/11/main" uri="{2F2917AC-EB37-4324-AD4E-5DD8C200BD13}">
      <x15:tableSlicerCache tableId="9"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81062842-403B-4168-AB4E-F17B70115713}" cache="Slicer_County" caption="Count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1" xr10:uid="{9BC920D2-DFE3-4A03-9BE7-BC0D080ABDC1}" cache="Slicer_County1" caption="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2" xr10:uid="{C4F064B8-CCCC-452D-822A-E7E34191A948}" cache="Slicer_County2" caption="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9536FF5-3BBC-41F9-96AD-E204452DCD02}" name="Table3" displayName="Table3" ref="A1:AG129" totalsRowShown="0" headerRowDxfId="118">
  <autoFilter ref="A1:AG129" xr:uid="{09536FF5-3BBC-41F9-96AD-E204452DCD02}"/>
  <tableColumns count="33">
    <tableColumn id="1" xr3:uid="{06E4F740-452B-4BCF-B8D3-B15889B509D1}" name="State"/>
    <tableColumn id="3" xr3:uid="{F97657CA-329B-429A-9FE4-2B13E2CFF5AB}" name="Provider"/>
    <tableColumn id="4" xr3:uid="{86F17C1B-9203-4A61-8937-61D9A95BE0F8}" name="City"/>
    <tableColumn id="5" xr3:uid="{40B53FFB-DABE-4901-B441-4A60B0C25724}" name="County"/>
    <tableColumn id="6" xr3:uid="{9CA9DE4D-E403-4E7B-BC8B-BF78F8F01E79}" name="MDS Census" dataDxfId="117"/>
    <tableColumn id="30" xr3:uid="{627E180D-419B-40F5-8066-824329085F3B}" name="Total Nurse Staff HPRD" dataDxfId="116">
      <calculatedColumnFormula>Table3[[#This Row],[Total Hours Nurse Staffing]]/Table3[[#This Row],[MDS Census]]</calculatedColumnFormula>
    </tableColumn>
    <tableColumn id="33" xr3:uid="{39E5D2AA-D3A8-4E6A-A158-366ECCC3399B}" name="Direct Care Staff HPRD" dataDxfId="115">
      <calculatedColumnFormula>Table3[[#This Row],[Total Direct Care Staff Hours]]/Table3[[#This Row],[MDS Census]]</calculatedColumnFormula>
    </tableColumn>
    <tableColumn id="31" xr3:uid="{A95C0F09-DE66-4354-94BD-61768990513C}" name="Total RN HPRD" dataDxfId="114">
      <calculatedColumnFormula>Table3[[#This Row],[Total RN Hours (w/ Admin, DON)]]/Table3[[#This Row],[MDS Census]]</calculatedColumnFormula>
    </tableColumn>
    <tableColumn id="24" xr3:uid="{31F67EF8-F71F-47A6-989C-A68639E56EA6}" name="RN HPRD (excl. Admin/DON)" dataDxfId="113">
      <calculatedColumnFormula>Table3[[#This Row],[RN Hours (excl. Admin, DON)]]/Table3[[#This Row],[MDS Census]]</calculatedColumnFormula>
    </tableColumn>
    <tableColumn id="29" xr3:uid="{6F76298A-C7D7-4BE0-8623-294427217C26}" name="Total Hours Nurse Staffing" dataDxfId="112">
      <calculatedColumnFormula>SUM(L2,P2,S2)</calculatedColumnFormula>
    </tableColumn>
    <tableColumn id="25" xr3:uid="{76D80A8A-3FC0-44DB-BD31-568A2D242B91}" name="Total Direct Care Staff Hours" dataDxfId="111">
      <calculatedColumnFormula>SUM(Table3[[#This Row],[RN Hours (excl. Admin, DON)]], Table3[[#This Row],[LPN Hours (excl. Admin)]], Table3[[#This Row],[CNA Hours]], Table3[[#This Row],[NA TR Hours]], Table3[[#This Row],[Med Aide/Tech Hours]])</calculatedColumnFormula>
    </tableColumn>
    <tableColumn id="23" xr3:uid="{756CB329-33D9-4F84-973A-006C4542D7BF}" name="Total RN Hours (w/ Admin, DON)" dataDxfId="110">
      <calculatedColumnFormula>SUM(Table3[[#This Row],[RN Hours (excl. Admin, DON)]:[RN DON Hours]])</calculatedColumnFormula>
    </tableColumn>
    <tableColumn id="9" xr3:uid="{502CF4A0-8F7D-4587-812E-77778A226BDF}" name="RN Hours (excl. Admin, DON)" dataDxfId="109"/>
    <tableColumn id="8" xr3:uid="{2E57BB13-53C3-4EC7-93E7-E58DF773D73B}" name="RN Admin Hours" dataDxfId="108"/>
    <tableColumn id="7" xr3:uid="{C51E47EF-2A48-4961-82AB-AE58B64502E5}" name="RN DON Hours" dataDxfId="107"/>
    <tableColumn id="27" xr3:uid="{BB89040C-0EC9-418D-A894-58069DF16F37}" name="Total LPN Hours (w/ Admin)" dataDxfId="106">
      <calculatedColumnFormula>SUM(Table3[[#This Row],[LPN Hours (excl. Admin)]:[LPN Admin Hours]])</calculatedColumnFormula>
    </tableColumn>
    <tableColumn id="11" xr3:uid="{1E8419CD-0FA8-4AFE-8E4D-D794CED0C7B4}" name="LPN Hours (excl. Admin)" dataDxfId="105"/>
    <tableColumn id="19" xr3:uid="{9D29B1E6-632B-4322-A5A1-5BA56964A17F}" name="LPN Admin Hours" dataDxfId="104"/>
    <tableColumn id="28" xr3:uid="{017F9483-9714-4E1E-AFC8-28EB7CBB78BB}" name="Total CNA, NA TR, Med Aide/Tech Hours" dataDxfId="103">
      <calculatedColumnFormula>SUM(Table3[[#This Row],[CNA Hours]], Table3[[#This Row],[NA TR Hours]], Table3[[#This Row],[Med Aide/Tech Hours]])</calculatedColumnFormula>
    </tableColumn>
    <tableColumn id="13" xr3:uid="{EEDFD5CB-0276-47CD-8985-7E534C98E6A7}" name="CNA Hours" dataDxfId="102"/>
    <tableColumn id="15" xr3:uid="{CCF9B0D5-9A35-4758-A6FB-F3EB8350DF75}" name="NA TR Hours" dataDxfId="101"/>
    <tableColumn id="21" xr3:uid="{BE0AF679-44B6-4B58-8CC7-030D60B3563A}" name="Med Aide/Tech Hours" dataDxfId="100"/>
    <tableColumn id="26" xr3:uid="{E34F1CA0-A87A-4C62-8632-F4FEA904139D}" name="Total Contract Hours" dataDxfId="99">
      <calculatedColumnFormula>SUM(Table3[[#This Row],[RN Hours Contract]:[Med Aide Hours Contract]])</calculatedColumnFormula>
    </tableColumn>
    <tableColumn id="10" xr3:uid="{CB459D4A-4B79-451F-BD66-5EE33B28DB77}" name="RN Hours Contract" dataDxfId="98"/>
    <tableColumn id="20" xr3:uid="{E2209211-9FDF-49A4-A689-D46F9DE1CA38}" name="RN Admin Hours Contract" dataDxfId="97"/>
    <tableColumn id="22" xr3:uid="{8F951206-33E7-421B-A0DF-9CEBA90B696F}" name="RN DON Hours Contract" dataDxfId="96"/>
    <tableColumn id="12" xr3:uid="{4853F394-88FF-4789-A71C-5372D01B194F}" name="LPN Hours Contract" dataDxfId="95"/>
    <tableColumn id="18" xr3:uid="{AEA7A833-E19D-427E-93F0-50FD28734C68}" name="LPN Admin Hours Contract" dataDxfId="94"/>
    <tableColumn id="14" xr3:uid="{F3015C32-C3EE-4B02-8D0D-9F643575B2EE}" name="CNA Hours Contract" dataDxfId="93"/>
    <tableColumn id="16" xr3:uid="{7F821D40-17ED-4E9C-90EA-D495B14E952F}" name="NA TR Hours Contract" dataDxfId="92"/>
    <tableColumn id="17" xr3:uid="{B9506578-92F9-41CD-92A7-DC6C815CF9A2}" name="Med Aide Hours Contract" dataDxfId="91"/>
    <tableColumn id="2" xr3:uid="{D30F26D2-9DE6-4E67-A87E-BAF76BE6A003}" name="Provider Number" dataDxfId="90"/>
    <tableColumn id="32" xr3:uid="{41ED9CBB-018E-4FD0-A7D9-32C7BDB87C33}" name="Region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7D472E6-0039-48B1-870C-FB625903C368}" name="Table39" displayName="Table39" ref="A1:AQ129" totalsRowShown="0" headerRowDxfId="89">
  <autoFilter ref="A1:AQ129" xr:uid="{09536FF5-3BBC-41F9-96AD-E204452DCD02}"/>
  <tableColumns count="43">
    <tableColumn id="1" xr3:uid="{CC8B46D9-1EEE-4937-9953-ADBBE9A5BB40}" name="State"/>
    <tableColumn id="3" xr3:uid="{128A75AE-25D3-484F-BE1E-23098DC73E78}" name="Provider"/>
    <tableColumn id="4" xr3:uid="{5852F418-2DF1-448E-8508-7785ACA349BA}" name="City"/>
    <tableColumn id="5" xr3:uid="{FCF7B72E-AB6B-49C8-9BCD-FB119427E074}" name="County"/>
    <tableColumn id="6" xr3:uid="{88E32E0D-6998-4C68-BAF0-417D978B6B95}" name="MDS Census" dataDxfId="88"/>
    <tableColumn id="29" xr3:uid="{9A096EC6-E0EC-49A5-B8CE-DE572147F061}" name="Total Hours Nurse Staffing" dataDxfId="87">
      <calculatedColumnFormula>SUM(I2,U2,AD2)</calculatedColumnFormula>
    </tableColumn>
    <tableColumn id="26" xr3:uid="{0D502EA3-8B73-4E53-B9C7-26F240A87575}" name="Total Contract Hours" dataDxfId="86">
      <calculatedColumnFormula>SUM(Table39[[#This Row],[RN Hours Contract (W/ Admin, DON)]], Table39[[#This Row],[LPN Contract Hours (w/ Admin)]], Table39[[#This Row],[CNA/NA/Med Aide Contract Hours]])</calculatedColumnFormula>
    </tableColumn>
    <tableColumn id="33" xr3:uid="{590BA50A-40A3-48BC-9110-88700F13FF18}" name="Percent Contract Hours" dataDxfId="85">
      <calculatedColumnFormula>Table39[[#This Row],[Total Contract Hours]]/Table39[[#This Row],[Total Hours Nurse Staffing]]</calculatedColumnFormula>
    </tableColumn>
    <tableColumn id="23" xr3:uid="{B02D4CD1-018F-4B81-BBA7-F799E34C453E}" name="RN Hours (w/ Admin, DON)" dataDxfId="84">
      <calculatedColumnFormula>SUM(Table39[[#This Row],[RN Hours]], Table39[[#This Row],[RN Admin Hours]], Table39[[#This Row],[RN DON Hours]])</calculatedColumnFormula>
    </tableColumn>
    <tableColumn id="50" xr3:uid="{D99951CB-6DDC-4FF6-9C20-A8D02896E17A}" name="RN Hours Contract (W/ Admin, DON)" dataDxfId="83">
      <calculatedColumnFormula>SUM(M2,P2,S2)</calculatedColumnFormula>
    </tableColumn>
    <tableColumn id="51" xr3:uid="{85A13AF0-E305-46CD-AD37-58866044F50E}" name="Percent RN Contract ALL" dataDxfId="82">
      <calculatedColumnFormula>Table39[[#This Row],[RN Hours Contract (W/ Admin, DON)]]/Table39[[#This Row],[RN Hours (w/ Admin, DON)]]</calculatedColumnFormula>
    </tableColumn>
    <tableColumn id="9" xr3:uid="{B35C4F8E-D214-49B0-B14C-4B9EA2C1EE29}" name="RN Hours" dataDxfId="81"/>
    <tableColumn id="10" xr3:uid="{E2B2F6C1-3AFE-405F-A4E7-C8B1CC2654A1}" name="RN Hours Contract" dataDxfId="80"/>
    <tableColumn id="49" xr3:uid="{91A29E08-E8F1-4A19-AED2-FF5AE1FB2C61}" name="Percent RN Contract" dataDxfId="79">
      <calculatedColumnFormula>Table39[[#This Row],[RN Hours Contract]]/Table39[[#This Row],[RN Hours]]</calculatedColumnFormula>
    </tableColumn>
    <tableColumn id="8" xr3:uid="{ABF1E93F-C7CF-48CC-91D8-134F0B1DF4D9}" name="RN Admin Hours" dataDxfId="78"/>
    <tableColumn id="20" xr3:uid="{3E56146B-6249-46EB-8AA4-4DBE0B9B5421}" name="RN Admin Hours Contract" dataDxfId="77"/>
    <tableColumn id="48" xr3:uid="{80B9191D-7447-4260-9CAD-DB9AA9A86A0F}" name="Percent RN Admin Contract" dataDxfId="76">
      <calculatedColumnFormula>Table39[[#This Row],[RN Admin Hours Contract]]/Table39[[#This Row],[RN Admin Hours]]</calculatedColumnFormula>
    </tableColumn>
    <tableColumn id="7" xr3:uid="{BAC2970C-BDD1-462D-9123-25C541A0D5E0}" name="RN DON Hours" dataDxfId="75"/>
    <tableColumn id="22" xr3:uid="{3833517D-2316-4C62-A456-4293F1C02CAA}" name="RN DON Hours Contract" dataDxfId="74"/>
    <tableColumn id="47" xr3:uid="{ED3DE9AB-4398-4BF2-BD4F-8D0BCEA9F330}" name="Percent RN DON Contract" dataDxfId="73">
      <calculatedColumnFormula>Table39[[#This Row],[RN DON Hours Contract]]/Table39[[#This Row],[RN DON Hours]]</calculatedColumnFormula>
    </tableColumn>
    <tableColumn id="27" xr3:uid="{F06ED4A0-2FE2-4220-8A5F-09FEF2AAB9E6}" name="LPN Hours (w/ Admin)" dataDxfId="72">
      <calculatedColumnFormula>SUM(Table39[[#This Row],[LPN Hours]], Table39[[#This Row],[LPN Admin Hours]])</calculatedColumnFormula>
    </tableColumn>
    <tableColumn id="40" xr3:uid="{9979EEE7-5D52-4C36-A8E4-E87F776355E0}" name="LPN Contract Hours (w/ Admin)" dataDxfId="71">
      <calculatedColumnFormula>Table39[[#This Row],[LPN Hours Contract]]+Table39[[#This Row],[LPN Admin Hours Contract]]</calculatedColumnFormula>
    </tableColumn>
    <tableColumn id="41" xr3:uid="{BECB4C08-07E6-4C10-A68A-AA5BB7539817}" name="Percent LPN ALL Contract" dataDxfId="70">
      <calculatedColumnFormula>V2/U2</calculatedColumnFormula>
    </tableColumn>
    <tableColumn id="11" xr3:uid="{B950DE52-183E-4249-8EE7-C0BA1FE8EDE5}" name="LPN Hours" dataDxfId="69"/>
    <tableColumn id="12" xr3:uid="{1BCCBB0C-1923-4B6E-8C18-8E82CE184E85}" name="LPN Hours Contract" dataDxfId="68"/>
    <tableColumn id="39" xr3:uid="{B8E7B840-747D-4268-AB96-5E91F63E3295}" name="Percent LPN Only Contract" dataDxfId="67">
      <calculatedColumnFormula>Table39[[#This Row],[LPN Hours Contract]]/Table39[[#This Row],[LPN Hours]]</calculatedColumnFormula>
    </tableColumn>
    <tableColumn id="19" xr3:uid="{9C42E2E7-2F11-49A3-9624-EBA3F5361220}" name="LPN Admin Hours" dataDxfId="66"/>
    <tableColumn id="18" xr3:uid="{32DB0C07-27D1-4EC0-9115-4877B3539EAE}" name="LPN Admin Hours Contract" dataDxfId="65"/>
    <tableColumn id="38" xr3:uid="{7B1524E5-E42F-404F-9D4A-4FA34C41913F}" name="Percent LPN Admin Contract" dataDxfId="64">
      <calculatedColumnFormula>Table39[[#This Row],[LPN Admin Hours Contract]]/Table39[[#This Row],[LPN Admin Hours]]</calculatedColumnFormula>
    </tableColumn>
    <tableColumn id="28" xr3:uid="{D0E62840-DD37-4480-BE0C-9E835D873FD6}" name="Total CNA, NA in Training, Med Aide/Tech Hours" dataDxfId="63">
      <calculatedColumnFormula>SUM(Table39[[#This Row],[CNA Hours]], Table39[[#This Row],[NA in Training Hours]], Table39[[#This Row],[Med Aide/Tech Hours]])</calculatedColumnFormula>
    </tableColumn>
    <tableColumn id="42" xr3:uid="{EFE23B84-8ABE-490A-9ABD-5A9130793F53}" name="CNA/NA/Med Aide Contract Hours" dataDxfId="62">
      <calculatedColumnFormula>SUM(Table39[[#This Row],[CNA Hours Contract]], Table39[[#This Row],[NA in Training Hours Contract]], Table39[[#This Row],[Med Aide/Tech Hours Contract]])</calculatedColumnFormula>
    </tableColumn>
    <tableColumn id="37" xr3:uid="{157E4A30-0A42-49E6-A607-1EDF2966CC31}" name="Percent CNA/NA/Med Aide Contract" dataDxfId="61">
      <calculatedColumnFormula>Table39[[#This Row],[CNA/NA/Med Aide Contract Hours]]/Table39[[#This Row],[Total CNA, NA in Training, Med Aide/Tech Hours]]</calculatedColumnFormula>
    </tableColumn>
    <tableColumn id="13" xr3:uid="{18C3245F-B7D5-4358-AF85-6FB1BBDCAC07}" name="CNA Hours" dataDxfId="60"/>
    <tableColumn id="14" xr3:uid="{07B97013-452C-44AF-9AD8-FC02288C357A}" name="CNA Hours Contract" dataDxfId="59"/>
    <tableColumn id="36" xr3:uid="{CF02D1D7-82D8-4218-B6A7-7C578177669E}" name="Percent CNA Contract" dataDxfId="58">
      <calculatedColumnFormula>Table39[[#This Row],[CNA Hours Contract]]/Table39[[#This Row],[CNA Hours]]</calculatedColumnFormula>
    </tableColumn>
    <tableColumn id="15" xr3:uid="{FFE6A969-D693-4555-88AA-D3797B0501BA}" name="NA in Training Hours" dataDxfId="57"/>
    <tableColumn id="16" xr3:uid="{46A4EC38-DA1B-4C5E-9CEC-B3D221CBBAC0}" name="NA in Training Hours Contract" dataDxfId="56"/>
    <tableColumn id="35" xr3:uid="{0CE0981A-9E06-4B22-A744-51AE4F872F2D}" name="Percent NA in Training Contract" dataDxfId="55">
      <calculatedColumnFormula>Table39[[#This Row],[NA in Training Hours Contract]]/Table39[[#This Row],[NA in Training Hours]]</calculatedColumnFormula>
    </tableColumn>
    <tableColumn id="21" xr3:uid="{375DFFDF-2B62-4C86-900F-C4755CE38B1F}" name="Med Aide/Tech Hours" dataDxfId="54"/>
    <tableColumn id="17" xr3:uid="{17526C45-E9B6-4AAC-97AB-F1C395F72323}" name="Med Aide/Tech Hours Contract" dataDxfId="53"/>
    <tableColumn id="34" xr3:uid="{CB1688E2-9917-4F58-83D3-D9B2DA01F8FD}" name="Percent Med Aide/Tech Contract" dataDxfId="52">
      <calculatedColumnFormula>Table39[[#This Row],[Med Aide/Tech Hours Contract]]/Table39[[#This Row],[Med Aide/Tech Hours]]</calculatedColumnFormula>
    </tableColumn>
    <tableColumn id="2" xr3:uid="{10757BCE-E124-41A3-92B7-99EA227A050F}" name="Provider Number" dataDxfId="51"/>
    <tableColumn id="25" xr3:uid="{2DCB068E-C1CA-4E1D-9189-57AB09B91079}" name="Region Number"/>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838F827-3BF5-44ED-9B10-F2058E8B8E8E}" name="Table2" displayName="Table2" ref="A1:AI129" totalsRowShown="0" headerRowDxfId="50">
  <autoFilter ref="A1:AI129" xr:uid="{0BC5ADF1-15D4-4F74-902E-CBC634AC45F1}"/>
  <tableColumns count="35">
    <tableColumn id="1" xr3:uid="{D91033D2-40AA-471E-9569-FE721E269898}" name="State"/>
    <tableColumn id="3" xr3:uid="{71841179-9722-44FF-96EF-BF9D59E87D8C}" name="Provider"/>
    <tableColumn id="4" xr3:uid="{CD954CE6-F373-495B-9746-D299EE9A7C29}" name="City"/>
    <tableColumn id="5" xr3:uid="{08E6C66F-D933-4B25-B7F8-1E3BF75BAFFE}" name="County"/>
    <tableColumn id="6" xr3:uid="{5811E772-76B6-4F16-B3D1-75619F778370}" name="MDS Census" dataDxfId="49"/>
    <tableColumn id="7" xr3:uid="{D6BB8869-5DAE-4A06-B1A1-0BFA7C9CA5F7}" name="Admin Hours" dataDxfId="48"/>
    <tableColumn id="30" xr3:uid="{640DA1D9-EFC2-440B-9960-2B23A46C4053}" name="Medical Director Hours" dataDxfId="47"/>
    <tableColumn id="8" xr3:uid="{2B840D74-2E92-4BBB-BC87-81B31604C65D}" name="Pharmacist Hours" dataDxfId="46"/>
    <tableColumn id="10" xr3:uid="{0447F5DE-755A-4649-9B47-34DA90345B62}" name="Dietician Hours" dataDxfId="45"/>
    <tableColumn id="28" xr3:uid="{624A65DC-33A9-4162-BA51-5266B2D8BF13}" name="Physician Assistant Hours" dataDxfId="44"/>
    <tableColumn id="29" xr3:uid="{805E7444-5A74-481E-9252-44ADB03D2091}" name="Nurse Practictioner Hours" dataDxfId="43"/>
    <tableColumn id="20" xr3:uid="{04E53EED-CFE8-4BF6-A84C-FBCFA9F3D822}" name="Speech/Language Pathologist Hours" dataDxfId="42"/>
    <tableColumn id="17" xr3:uid="{D9B8FDA2-93C3-44A6-910A-056756CEFD9F}" name="Qualified Social Work Staff Hours" dataDxfId="41"/>
    <tableColumn id="15" xr3:uid="{F7B0519A-62CC-4060-B770-E364BBDBED9B}" name="Other Social Work Staff Hours" dataDxfId="40"/>
    <tableColumn id="34" xr3:uid="{D18CB644-8D21-4D5D-A419-759E1869D3C0}" name="Total Social Work HPRD" dataDxfId="39">
      <calculatedColumnFormula>SUM(Table2[[#This Row],[Qualified Social Work Staff Hours]:[Other Social Work Staff Hours]])/Table2[[#This Row],[MDS Census]]</calculatedColumnFormula>
    </tableColumn>
    <tableColumn id="18" xr3:uid="{621D9A7E-2988-442B-A9E8-5663A7488A26}" name="Qualified Activities Professional Hours" dataDxfId="38"/>
    <tableColumn id="16" xr3:uid="{E4C4A2C7-0F95-4650-ADF8-3C92A54C39AD}" name="Other Activities Professional Hours" dataDxfId="37"/>
    <tableColumn id="33" xr3:uid="{664F35D2-2D81-4ED5-9F7C-8A13A2BE96BD}" name="Combined Activities HPRD" dataDxfId="36">
      <calculatedColumnFormula>SUM(Table2[[#This Row],[Qualified Activities Professional Hours]:[Other Activities Professional Hours]])/Table2[[#This Row],[MDS Census]]</calculatedColumnFormula>
    </tableColumn>
    <tableColumn id="12" xr3:uid="{263E9C5E-8FF7-4F73-8F52-5E8DB1BBC4DD}" name="Occupational Therapist Hours" dataDxfId="35"/>
    <tableColumn id="13" xr3:uid="{9E68089E-EDA2-466D-ADE5-9FCFB07B3EA5}" name="OT Assistant Hours" dataDxfId="34"/>
    <tableColumn id="22" xr3:uid="{902D76C7-AFE6-4733-B53D-A02B86FF4001}" name="OT Aide Hours" dataDxfId="33"/>
    <tableColumn id="35" xr3:uid="{A024FD52-882C-4C0C-A564-724A0E862380}" name="OT HPRD (incl. Assistant &amp; Aide)" dataDxfId="32">
      <calculatedColumnFormula>SUM(Table2[[#This Row],[Occupational Therapist Hours]:[OT Aide Hours]])/Table2[[#This Row],[MDS Census]]</calculatedColumnFormula>
    </tableColumn>
    <tableColumn id="23" xr3:uid="{C9A90AA3-7EDE-4DF1-9D18-43394111EF94}" name="Physical Therapist (PT) Hours" dataDxfId="31"/>
    <tableColumn id="24" xr3:uid="{23ABF890-A0D3-4D5C-8643-2B10738FAAC4}" name="PT Assistant Hours" dataDxfId="30"/>
    <tableColumn id="25" xr3:uid="{3037F839-B242-4ECB-8BD9-E2AAC1ACB427}" name="PT Aide Hours" dataDxfId="29"/>
    <tableColumn id="36" xr3:uid="{C80073E2-A5FF-4B53-A423-37429F8CD824}" name="PT HPRD (incl. Assistant &amp; Aide)" dataDxfId="28">
      <calculatedColumnFormula>SUM(Table2[[#This Row],[Physical Therapist (PT) Hours]:[PT Aide Hours]])/Table2[[#This Row],[MDS Census]]</calculatedColumnFormula>
    </tableColumn>
    <tableColumn id="14" xr3:uid="{86581BD0-C783-4EBA-8CAF-438FA0EC56A2}" name="Mental Health Service Worker Hours" dataDxfId="27"/>
    <tableColumn id="21" xr3:uid="{48B058D5-EF5B-4FD1-9D0E-C53B14906DB7}" name="Therapeutic Recreation Specialist" dataDxfId="26"/>
    <tableColumn id="9" xr3:uid="{CBB25F5F-4EA4-46CB-901E-C3EEF9CF155E}" name="Clinical Nurse Specialist Hours" dataDxfId="25"/>
    <tableColumn id="11" xr3:uid="{5360BF40-71F0-4504-B6C1-B90BB1DB7B1A}" name="Feeding Assistant Hours" dataDxfId="24"/>
    <tableColumn id="26" xr3:uid="{36846341-75B3-4156-84D0-789269AE6E2E}" name="Respiratory Therapy Technician Hours" dataDxfId="23"/>
    <tableColumn id="27" xr3:uid="{A22205CE-B325-46C9-8D59-515A3EC09B62}" name="Respiratory Therapist Hours" dataDxfId="22"/>
    <tableColumn id="31" xr3:uid="{ADCEE907-E18E-441F-AE91-D008BE89AFD9}" name="Other Physician Hours" dataDxfId="21"/>
    <tableColumn id="2" xr3:uid="{4856001E-0ECE-47A2-84B5-E71E0673BA66}" name="Provider Number" dataDxfId="20"/>
    <tableColumn id="32" xr3:uid="{EAFCCBB7-A320-4F54-9826-8B5BD3A768CF}" name="Region Number" dataDxfId="19"/>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C78FC4A-F94C-47E7-8D13-70ED53F2845C}" name="Table411" displayName="Table411" ref="B2:C7" totalsRowShown="0" headerRowDxfId="18" dataDxfId="17" tableBorderDxfId="16">
  <autoFilter ref="B2:C7" xr:uid="{1ED771D8-DBF2-4B5C-9F7D-A59FBB047463}"/>
  <tableColumns count="2">
    <tableColumn id="1" xr3:uid="{C48EEB28-AEA0-44C2-A207-A1C3BC6BE8A9}" name="State" dataDxfId="15"/>
    <tableColumn id="2" xr3:uid="{155D7A67-C610-435A-8E87-D26DDA10B607}" name="Average" dataDxfId="14" dataCellStyle="Normal 2 2">
      <calculatedColumnFormula>SUM(Nurse!J:J)/SUM(Nurse!E:E)</calculatedColumnFormula>
    </tableColumn>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65E5F01-F55D-4423-8221-FE9537902289}" name="Table30" displayName="Table30" ref="F2:I15" totalsRowShown="0" headerRowDxfId="13" dataDxfId="12">
  <autoFilter ref="F2:I15" xr:uid="{565E5F01-F55D-4423-8221-FE9537902289}"/>
  <tableColumns count="4">
    <tableColumn id="1" xr3:uid="{C6D51445-7A0D-4791-B84E-B5449F87A69D}" name="Staffing Category" dataDxfId="11"/>
    <tableColumn id="2" xr3:uid="{AF4AE62F-8BF2-4900-B967-B70C6E269591}" name="State Total" dataDxfId="10"/>
    <tableColumn id="3" xr3:uid="{0A3B9502-B25C-4004-BD6B-75049F63ECD6}" name="Percentage of Total" dataDxfId="9">
      <calculatedColumnFormula>Table30[[#This Row],[State Total]]/G1</calculatedColumnFormula>
    </tableColumn>
    <tableColumn id="4" xr3:uid="{59FECD1F-9FDC-43CA-A744-CFC4B6372A0A}" name="HPRD" dataDxfId="8">
      <calculatedColumnFormula>Table30[[#This Row],[State Total]]/C6</calculatedColumnFormula>
    </tableColumn>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611C2622-9CCC-48CE-821F-F51D1E505E95}" name="Table32" displayName="Table32" ref="F18:G28" totalsRowShown="0" headerRowDxfId="7" dataDxfId="6">
  <autoFilter ref="F18:G28" xr:uid="{611C2622-9CCC-48CE-821F-F51D1E505E95}"/>
  <tableColumns count="2">
    <tableColumn id="1" xr3:uid="{AD214111-7A4C-4C91-9E95-37D8C1B3DAE7}" name="Contract Hours" dataDxfId="5"/>
    <tableColumn id="2" xr3:uid="{C83DFDBA-9027-4E10-96A9-5BAFC796767D}" name="State Total" dataDxfId="4"/>
  </tableColumns>
  <tableStyleInfo name="TableStyleMedium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3106FE6-CCEA-42AA-9F14-64FFC94AC8E0}" name="Table3036" displayName="Table3036" ref="F32:G36" totalsRowShown="0" headerRowDxfId="3" dataDxfId="2">
  <autoFilter ref="F32:G36" xr:uid="{03106FE6-CCEA-42AA-9F14-64FFC94AC8E0}"/>
  <tableColumns count="2">
    <tableColumn id="1" xr3:uid="{175A2CC1-8D4F-4462-AB4F-C1E2392DCA19}" name="Staffing Category" dataDxfId="1"/>
    <tableColumn id="4" xr3:uid="{5629E345-4C3E-45BD-84A7-A11A6B77424F}"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webextension1.xml.rels><?xml version="1.0" encoding="UTF-8" standalone="yes"?>
<Relationships xmlns="http://schemas.openxmlformats.org/package/2006/relationships"><Relationship Id="rId1" Type="http://schemas.openxmlformats.org/officeDocument/2006/relationships/image" Target="../media/image1.png"/></Relationships>
</file>

<file path=xl/webextensions/webextension1.xml><?xml version="1.0" encoding="utf-8"?>
<we:webextension xmlns:we="http://schemas.microsoft.com/office/webextensions/webextension/2010/11" id="{2A5CF55E-C8AB-46AF-8527-CEFB5615391D}">
  <we:reference id="wa104104476" version="1.3.0.0" store="en-US" storeType="OMEX"/>
  <we:alternateReferences/>
  <we:properties>
    <we:property name="layout-element-title" value="&quot;State Staff HPRD (Q1 2021)&quot;"/>
    <we:property name="shape" value="&quot;clock&quot;"/>
    <we:property name="sku" value="&quot;peoplebar-giant&quot;"/>
    <we:property name="theme" value="&quot;giant-roseblue&quot;"/>
  </we:properties>
  <we:bindings>
    <we:binding id="dataVizBinding" type="matrix" appref="{A6DDE8EF-38AE-4F9B-B97D-BA0FCED26231}"/>
  </we:bindings>
  <we:snapshot xmlns:r="http://schemas.openxmlformats.org/officeDocument/2006/relationships" r:embed="rId1"/>
</we:webextension>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41F9C-D1C0-43E1-9226-66C9FC896607}">
  <sheetPr>
    <outlinePr summaryRight="0"/>
  </sheetPr>
  <dimension ref="A1:AQ131"/>
  <sheetViews>
    <sheetView tabSelected="1" zoomScale="80" zoomScaleNormal="80" workbookViewId="0">
      <pane xSplit="4" ySplit="1" topLeftCell="E2" activePane="bottomRight" state="frozen"/>
      <selection pane="topRight" activeCell="E1" sqref="E1"/>
      <selection pane="bottomLeft" activeCell="A2" sqref="A2"/>
      <selection pane="bottomRight"/>
    </sheetView>
  </sheetViews>
  <sheetFormatPr baseColWidth="10" defaultColWidth="8.83203125" defaultRowHeight="15" outlineLevelCol="1" x14ac:dyDescent="0.2"/>
  <cols>
    <col min="1" max="1" width="7.6640625" bestFit="1" customWidth="1"/>
    <col min="2" max="2" width="30.6640625" customWidth="1"/>
    <col min="3" max="4" width="16.6640625" customWidth="1"/>
    <col min="5" max="5" width="13" customWidth="1"/>
    <col min="6" max="6" width="15.6640625" customWidth="1"/>
    <col min="7" max="7" width="15.6640625" style="1" customWidth="1"/>
    <col min="8" max="8" width="15.6640625" customWidth="1"/>
    <col min="9" max="9" width="15.6640625" style="1" customWidth="1"/>
    <col min="10" max="10" width="15.6640625" style="1" customWidth="1" collapsed="1"/>
    <col min="11" max="11" width="28.6640625" style="1" hidden="1" customWidth="1" outlineLevel="1"/>
    <col min="12" max="12" width="25.1640625" hidden="1" customWidth="1" outlineLevel="1"/>
    <col min="13" max="13" width="12.6640625" style="1" hidden="1" customWidth="1" outlineLevel="1"/>
    <col min="14" max="14" width="16.33203125" style="1" hidden="1" customWidth="1" outlineLevel="1"/>
    <col min="15" max="15" width="15.1640625" style="1" hidden="1" customWidth="1" outlineLevel="1"/>
    <col min="16" max="16" width="15.83203125" hidden="1" customWidth="1" outlineLevel="1"/>
    <col min="17" max="17" width="12.6640625" hidden="1" customWidth="1" outlineLevel="1"/>
    <col min="18" max="18" width="13.1640625" hidden="1" customWidth="1" outlineLevel="1"/>
    <col min="19" max="19" width="16.5" style="1" hidden="1" customWidth="1" outlineLevel="1"/>
    <col min="20" max="20" width="12.6640625" hidden="1" customWidth="1" outlineLevel="1"/>
    <col min="21" max="21" width="13.33203125" hidden="1" customWidth="1" outlineLevel="1"/>
    <col min="22" max="22" width="13.1640625" hidden="1" customWidth="1" outlineLevel="1"/>
    <col min="23" max="23" width="15.6640625" style="1" customWidth="1" collapsed="1"/>
    <col min="24" max="31" width="15.6640625" hidden="1" customWidth="1" outlineLevel="1"/>
    <col min="32" max="32" width="15.6640625" customWidth="1"/>
    <col min="33" max="33" width="15.6640625" style="1" customWidth="1"/>
    <col min="34" max="34" width="11.5" customWidth="1"/>
    <col min="35" max="35" width="8.6640625" customWidth="1"/>
    <col min="36" max="36" width="15.83203125" customWidth="1"/>
    <col min="37" max="37" width="8.6640625" customWidth="1"/>
    <col min="38" max="38" width="29.5" customWidth="1"/>
    <col min="41" max="41" width="31.33203125" customWidth="1"/>
    <col min="42" max="42" width="17.1640625" customWidth="1"/>
    <col min="43" max="43" width="17.1640625" style="1" customWidth="1"/>
    <col min="44" max="44" width="30.5" customWidth="1"/>
    <col min="46" max="46" width="18.6640625" customWidth="1"/>
    <col min="47" max="47" width="26.6640625" customWidth="1"/>
    <col min="48" max="49" width="26.1640625" customWidth="1"/>
    <col min="50" max="50" width="24.1640625" bestFit="1" customWidth="1"/>
    <col min="51" max="51" width="22.6640625" customWidth="1"/>
    <col min="53" max="53" width="23.33203125" bestFit="1" customWidth="1"/>
    <col min="54" max="54" width="22.6640625" customWidth="1"/>
    <col min="55" max="55" width="24.1640625" customWidth="1"/>
    <col min="56" max="56" width="26.1640625" bestFit="1" customWidth="1"/>
    <col min="60" max="60" width="24.33203125" customWidth="1"/>
    <col min="61" max="61" width="26.83203125" customWidth="1"/>
    <col min="62" max="62" width="23.5" customWidth="1"/>
    <col min="63" max="63" width="25.5" customWidth="1"/>
  </cols>
  <sheetData>
    <row r="1" spans="1:43" s="5" customFormat="1" ht="150" customHeight="1" x14ac:dyDescent="0.2">
      <c r="A1" s="5" t="s">
        <v>348</v>
      </c>
      <c r="B1" s="5" t="s">
        <v>350</v>
      </c>
      <c r="C1" s="5" t="s">
        <v>366</v>
      </c>
      <c r="D1" s="5" t="s">
        <v>351</v>
      </c>
      <c r="E1" s="5" t="s">
        <v>352</v>
      </c>
      <c r="F1" s="5" t="s">
        <v>375</v>
      </c>
      <c r="G1" s="5" t="s">
        <v>465</v>
      </c>
      <c r="H1" s="5" t="s">
        <v>423</v>
      </c>
      <c r="I1" s="5" t="s">
        <v>466</v>
      </c>
      <c r="J1" s="5" t="s">
        <v>367</v>
      </c>
      <c r="K1" s="5" t="s">
        <v>467</v>
      </c>
      <c r="L1" s="5" t="s">
        <v>439</v>
      </c>
      <c r="M1" s="5" t="s">
        <v>436</v>
      </c>
      <c r="N1" s="5" t="s">
        <v>356</v>
      </c>
      <c r="O1" s="5" t="s">
        <v>357</v>
      </c>
      <c r="P1" s="5" t="s">
        <v>440</v>
      </c>
      <c r="Q1" s="5" t="s">
        <v>437</v>
      </c>
      <c r="R1" s="5" t="s">
        <v>370</v>
      </c>
      <c r="S1" s="5" t="s">
        <v>438</v>
      </c>
      <c r="T1" s="5" t="s">
        <v>355</v>
      </c>
      <c r="U1" s="5" t="s">
        <v>432</v>
      </c>
      <c r="V1" s="5" t="s">
        <v>371</v>
      </c>
      <c r="W1" s="5" t="s">
        <v>374</v>
      </c>
      <c r="X1" s="5" t="s">
        <v>358</v>
      </c>
      <c r="Y1" s="5" t="s">
        <v>391</v>
      </c>
      <c r="Z1" s="5" t="s">
        <v>389</v>
      </c>
      <c r="AA1" s="5" t="s">
        <v>359</v>
      </c>
      <c r="AB1" s="5" t="s">
        <v>390</v>
      </c>
      <c r="AC1" s="5" t="s">
        <v>360</v>
      </c>
      <c r="AD1" s="5" t="s">
        <v>433</v>
      </c>
      <c r="AE1" s="5" t="s">
        <v>392</v>
      </c>
      <c r="AF1" s="5" t="s">
        <v>349</v>
      </c>
      <c r="AG1" s="5" t="s">
        <v>393</v>
      </c>
    </row>
    <row r="2" spans="1:43" x14ac:dyDescent="0.2">
      <c r="A2" t="s">
        <v>128</v>
      </c>
      <c r="B2" t="s">
        <v>129</v>
      </c>
      <c r="C2" t="s">
        <v>263</v>
      </c>
      <c r="D2" t="s">
        <v>334</v>
      </c>
      <c r="E2" s="3">
        <v>105.36666666666666</v>
      </c>
      <c r="F2" s="3">
        <f>Table3[[#This Row],[Total Hours Nurse Staffing]]/Table3[[#This Row],[MDS Census]]</f>
        <v>4.9169302963197303</v>
      </c>
      <c r="G2" s="3">
        <f>Table3[[#This Row],[Total Direct Care Staff Hours]]/Table3[[#This Row],[MDS Census]]</f>
        <v>4.7323368132447534</v>
      </c>
      <c r="H2" s="3">
        <f>Table3[[#This Row],[Total RN Hours (w/ Admin, DON)]]/Table3[[#This Row],[MDS Census]]</f>
        <v>0.89850258357059998</v>
      </c>
      <c r="I2" s="3">
        <f>Table3[[#This Row],[RN Hours (excl. Admin, DON)]]/Table3[[#This Row],[MDS Census]]</f>
        <v>0.71390910049562384</v>
      </c>
      <c r="J2" s="3">
        <f t="shared" ref="J2:J40" si="0">SUM(L2,P2,S2)</f>
        <v>518.08055555555552</v>
      </c>
      <c r="K2" s="3">
        <f>SUM(Table3[[#This Row],[RN Hours (excl. Admin, DON)]], Table3[[#This Row],[LPN Hours (excl. Admin)]], Table3[[#This Row],[CNA Hours]], Table3[[#This Row],[NA TR Hours]], Table3[[#This Row],[Med Aide/Tech Hours]])</f>
        <v>498.63055555555553</v>
      </c>
      <c r="L2" s="3">
        <f>SUM(Table3[[#This Row],[RN Hours (excl. Admin, DON)]:[RN DON Hours]])</f>
        <v>94.672222222222217</v>
      </c>
      <c r="M2" s="3">
        <v>75.222222222222229</v>
      </c>
      <c r="N2" s="3">
        <v>14.383333333333333</v>
      </c>
      <c r="O2" s="3">
        <v>5.0666666666666664</v>
      </c>
      <c r="P2" s="3">
        <f>SUM(Table3[[#This Row],[LPN Hours (excl. Admin)]:[LPN Admin Hours]])</f>
        <v>119.25833333333334</v>
      </c>
      <c r="Q2" s="3">
        <v>119.25833333333334</v>
      </c>
      <c r="R2" s="3">
        <v>0</v>
      </c>
      <c r="S2" s="3">
        <f>SUM(Table3[[#This Row],[CNA Hours]], Table3[[#This Row],[NA TR Hours]], Table3[[#This Row],[Med Aide/Tech Hours]])</f>
        <v>304.14999999999998</v>
      </c>
      <c r="T2" s="3">
        <v>259.51944444444445</v>
      </c>
      <c r="U2" s="3">
        <v>0</v>
      </c>
      <c r="V2" s="3">
        <v>44.630555555555553</v>
      </c>
      <c r="W2" s="3">
        <f>SUM(Table3[[#This Row],[RN Hours Contract]:[Med Aide Hours Contract]])</f>
        <v>13.102777777777778</v>
      </c>
      <c r="X2" s="3">
        <v>1.6861111111111111</v>
      </c>
      <c r="Y2" s="3">
        <v>0</v>
      </c>
      <c r="Z2" s="3">
        <v>0</v>
      </c>
      <c r="AA2" s="3">
        <v>0</v>
      </c>
      <c r="AB2" s="3">
        <v>0</v>
      </c>
      <c r="AC2" s="3">
        <v>11.416666666666666</v>
      </c>
      <c r="AD2" s="3">
        <v>0</v>
      </c>
      <c r="AE2" s="3">
        <v>0</v>
      </c>
      <c r="AF2" t="s">
        <v>0</v>
      </c>
      <c r="AG2" s="13">
        <v>10</v>
      </c>
      <c r="AQ2"/>
    </row>
    <row r="3" spans="1:43" x14ac:dyDescent="0.2">
      <c r="A3" t="s">
        <v>128</v>
      </c>
      <c r="B3" t="s">
        <v>130</v>
      </c>
      <c r="C3" t="s">
        <v>279</v>
      </c>
      <c r="D3" t="s">
        <v>334</v>
      </c>
      <c r="E3" s="3">
        <v>80.011111111111106</v>
      </c>
      <c r="F3" s="3">
        <f>Table3[[#This Row],[Total Hours Nurse Staffing]]/Table3[[#This Row],[MDS Census]]</f>
        <v>4.5500555478405778</v>
      </c>
      <c r="G3" s="3">
        <f>Table3[[#This Row],[Total Direct Care Staff Hours]]/Table3[[#This Row],[MDS Census]]</f>
        <v>4.3532176086654628</v>
      </c>
      <c r="H3" s="3">
        <f>Table3[[#This Row],[Total RN Hours (w/ Admin, DON)]]/Table3[[#This Row],[MDS Census]]</f>
        <v>0.42912651020691578</v>
      </c>
      <c r="I3" s="3">
        <f>Table3[[#This Row],[RN Hours (excl. Admin, DON)]]/Table3[[#This Row],[MDS Census]]</f>
        <v>0.23228857103180117</v>
      </c>
      <c r="J3" s="3">
        <f t="shared" si="0"/>
        <v>364.05500000000001</v>
      </c>
      <c r="K3" s="3">
        <f>SUM(Table3[[#This Row],[RN Hours (excl. Admin, DON)]], Table3[[#This Row],[LPN Hours (excl. Admin)]], Table3[[#This Row],[CNA Hours]], Table3[[#This Row],[NA TR Hours]], Table3[[#This Row],[Med Aide/Tech Hours]])</f>
        <v>348.30577777777773</v>
      </c>
      <c r="L3" s="3">
        <f>SUM(Table3[[#This Row],[RN Hours (excl. Admin, DON)]:[RN DON Hours]])</f>
        <v>34.334888888888891</v>
      </c>
      <c r="M3" s="3">
        <v>18.585666666666668</v>
      </c>
      <c r="N3" s="3">
        <v>10.236888888888886</v>
      </c>
      <c r="O3" s="3">
        <v>5.512333333333336</v>
      </c>
      <c r="P3" s="3">
        <f>SUM(Table3[[#This Row],[LPN Hours (excl. Admin)]:[LPN Admin Hours]])</f>
        <v>61.174666666666667</v>
      </c>
      <c r="Q3" s="3">
        <v>61.174666666666667</v>
      </c>
      <c r="R3" s="3">
        <v>0</v>
      </c>
      <c r="S3" s="3">
        <f>SUM(Table3[[#This Row],[CNA Hours]], Table3[[#This Row],[NA TR Hours]], Table3[[#This Row],[Med Aide/Tech Hours]])</f>
        <v>268.54544444444446</v>
      </c>
      <c r="T3" s="3">
        <v>220.27233333333331</v>
      </c>
      <c r="U3" s="3">
        <v>0</v>
      </c>
      <c r="V3" s="3">
        <v>48.27311111111112</v>
      </c>
      <c r="W3" s="3">
        <f>SUM(Table3[[#This Row],[RN Hours Contract]:[Med Aide Hours Contract]])</f>
        <v>9.274111111111111</v>
      </c>
      <c r="X3" s="3">
        <v>0</v>
      </c>
      <c r="Y3" s="3">
        <v>0</v>
      </c>
      <c r="Z3" s="3">
        <v>0</v>
      </c>
      <c r="AA3" s="3">
        <v>1.1405555555555555</v>
      </c>
      <c r="AB3" s="3">
        <v>0</v>
      </c>
      <c r="AC3" s="3">
        <v>8.1335555555555548</v>
      </c>
      <c r="AD3" s="3">
        <v>0</v>
      </c>
      <c r="AE3" s="3">
        <v>0</v>
      </c>
      <c r="AF3" t="s">
        <v>1</v>
      </c>
      <c r="AG3" s="13">
        <v>10</v>
      </c>
      <c r="AQ3"/>
    </row>
    <row r="4" spans="1:43" x14ac:dyDescent="0.2">
      <c r="A4" t="s">
        <v>128</v>
      </c>
      <c r="B4" t="s">
        <v>131</v>
      </c>
      <c r="C4" t="s">
        <v>280</v>
      </c>
      <c r="D4" t="s">
        <v>322</v>
      </c>
      <c r="E4" s="3">
        <v>65.5</v>
      </c>
      <c r="F4" s="3">
        <f>Table3[[#This Row],[Total Hours Nurse Staffing]]/Table3[[#This Row],[MDS Census]]</f>
        <v>6.8545920271416447</v>
      </c>
      <c r="G4" s="3">
        <f>Table3[[#This Row],[Total Direct Care Staff Hours]]/Table3[[#This Row],[MDS Census]]</f>
        <v>6.5289296013570821</v>
      </c>
      <c r="H4" s="3">
        <f>Table3[[#This Row],[Total RN Hours (w/ Admin, DON)]]/Table3[[#This Row],[MDS Census]]</f>
        <v>1.8529228159457165</v>
      </c>
      <c r="I4" s="3">
        <f>Table3[[#This Row],[RN Hours (excl. Admin, DON)]]/Table3[[#This Row],[MDS Census]]</f>
        <v>1.6537709923664121</v>
      </c>
      <c r="J4" s="3">
        <f t="shared" si="0"/>
        <v>448.97577777777775</v>
      </c>
      <c r="K4" s="3">
        <f>SUM(Table3[[#This Row],[RN Hours (excl. Admin, DON)]], Table3[[#This Row],[LPN Hours (excl. Admin)]], Table3[[#This Row],[CNA Hours]], Table3[[#This Row],[NA TR Hours]], Table3[[#This Row],[Med Aide/Tech Hours]])</f>
        <v>427.64488888888889</v>
      </c>
      <c r="L4" s="3">
        <f>SUM(Table3[[#This Row],[RN Hours (excl. Admin, DON)]:[RN DON Hours]])</f>
        <v>121.36644444444443</v>
      </c>
      <c r="M4" s="3">
        <v>108.32199999999999</v>
      </c>
      <c r="N4" s="3">
        <v>13.044444444444444</v>
      </c>
      <c r="O4" s="3">
        <v>0</v>
      </c>
      <c r="P4" s="3">
        <f>SUM(Table3[[#This Row],[LPN Hours (excl. Admin)]:[LPN Admin Hours]])</f>
        <v>25.538111111111114</v>
      </c>
      <c r="Q4" s="3">
        <v>17.251666666666669</v>
      </c>
      <c r="R4" s="3">
        <v>8.2864444444444434</v>
      </c>
      <c r="S4" s="3">
        <f>SUM(Table3[[#This Row],[CNA Hours]], Table3[[#This Row],[NA TR Hours]], Table3[[#This Row],[Med Aide/Tech Hours]])</f>
        <v>302.07122222222222</v>
      </c>
      <c r="T4" s="3">
        <v>294.911</v>
      </c>
      <c r="U4" s="3">
        <v>0</v>
      </c>
      <c r="V4" s="3">
        <v>7.1602222222222203</v>
      </c>
      <c r="W4" s="3">
        <f>SUM(Table3[[#This Row],[RN Hours Contract]:[Med Aide Hours Contract]])</f>
        <v>0</v>
      </c>
      <c r="X4" s="3">
        <v>0</v>
      </c>
      <c r="Y4" s="3">
        <v>0</v>
      </c>
      <c r="Z4" s="3">
        <v>0</v>
      </c>
      <c r="AA4" s="3">
        <v>0</v>
      </c>
      <c r="AB4" s="3">
        <v>0</v>
      </c>
      <c r="AC4" s="3">
        <v>0</v>
      </c>
      <c r="AD4" s="3">
        <v>0</v>
      </c>
      <c r="AE4" s="3">
        <v>0</v>
      </c>
      <c r="AF4" t="s">
        <v>2</v>
      </c>
      <c r="AG4" s="13">
        <v>10</v>
      </c>
      <c r="AQ4"/>
    </row>
    <row r="5" spans="1:43" x14ac:dyDescent="0.2">
      <c r="A5" t="s">
        <v>128</v>
      </c>
      <c r="B5" t="s">
        <v>132</v>
      </c>
      <c r="C5" t="s">
        <v>273</v>
      </c>
      <c r="D5" t="s">
        <v>319</v>
      </c>
      <c r="E5" s="3">
        <v>47.588888888888889</v>
      </c>
      <c r="F5" s="3">
        <f>Table3[[#This Row],[Total Hours Nurse Staffing]]/Table3[[#This Row],[MDS Census]]</f>
        <v>4.4208989026383376</v>
      </c>
      <c r="G5" s="3">
        <f>Table3[[#This Row],[Total Direct Care Staff Hours]]/Table3[[#This Row],[MDS Census]]</f>
        <v>4.1930212467896339</v>
      </c>
      <c r="H5" s="3">
        <f>Table3[[#This Row],[Total RN Hours (w/ Admin, DON)]]/Table3[[#This Row],[MDS Census]]</f>
        <v>0.32562923184683629</v>
      </c>
      <c r="I5" s="3">
        <f>Table3[[#This Row],[RN Hours (excl. Admin, DON)]]/Table3[[#This Row],[MDS Census]]</f>
        <v>9.7751575998132154E-2</v>
      </c>
      <c r="J5" s="3">
        <f t="shared" si="0"/>
        <v>210.38566666666668</v>
      </c>
      <c r="K5" s="3">
        <f>SUM(Table3[[#This Row],[RN Hours (excl. Admin, DON)]], Table3[[#This Row],[LPN Hours (excl. Admin)]], Table3[[#This Row],[CNA Hours]], Table3[[#This Row],[NA TR Hours]], Table3[[#This Row],[Med Aide/Tech Hours]])</f>
        <v>199.54122222222225</v>
      </c>
      <c r="L5" s="3">
        <f>SUM(Table3[[#This Row],[RN Hours (excl. Admin, DON)]:[RN DON Hours]])</f>
        <v>15.496333333333332</v>
      </c>
      <c r="M5" s="3">
        <v>4.6518888888888892</v>
      </c>
      <c r="N5" s="3">
        <v>9.0666666666666664</v>
      </c>
      <c r="O5" s="3">
        <v>1.7777777777777777</v>
      </c>
      <c r="P5" s="3">
        <f>SUM(Table3[[#This Row],[LPN Hours (excl. Admin)]:[LPN Admin Hours]])</f>
        <v>46.161111111111111</v>
      </c>
      <c r="Q5" s="3">
        <v>46.161111111111111</v>
      </c>
      <c r="R5" s="3">
        <v>0</v>
      </c>
      <c r="S5" s="3">
        <f>SUM(Table3[[#This Row],[CNA Hours]], Table3[[#This Row],[NA TR Hours]], Table3[[#This Row],[Med Aide/Tech Hours]])</f>
        <v>148.72822222222223</v>
      </c>
      <c r="T5" s="3">
        <v>117.54211111111113</v>
      </c>
      <c r="U5" s="3">
        <v>0.67500000000000004</v>
      </c>
      <c r="V5" s="3">
        <v>30.511111111111113</v>
      </c>
      <c r="W5" s="3">
        <f>SUM(Table3[[#This Row],[RN Hours Contract]:[Med Aide Hours Contract]])</f>
        <v>18.491222222222227</v>
      </c>
      <c r="X5" s="3">
        <v>3.0463333333333327</v>
      </c>
      <c r="Y5" s="3">
        <v>0</v>
      </c>
      <c r="Z5" s="3">
        <v>0</v>
      </c>
      <c r="AA5" s="3">
        <v>4.0694444444444446</v>
      </c>
      <c r="AB5" s="3">
        <v>0</v>
      </c>
      <c r="AC5" s="3">
        <v>11.375444444444447</v>
      </c>
      <c r="AD5" s="3">
        <v>0</v>
      </c>
      <c r="AE5" s="3">
        <v>0</v>
      </c>
      <c r="AF5" t="s">
        <v>3</v>
      </c>
      <c r="AG5" s="13">
        <v>10</v>
      </c>
      <c r="AQ5"/>
    </row>
    <row r="6" spans="1:43" x14ac:dyDescent="0.2">
      <c r="A6" t="s">
        <v>128</v>
      </c>
      <c r="B6" t="s">
        <v>133</v>
      </c>
      <c r="C6" t="s">
        <v>263</v>
      </c>
      <c r="D6" t="s">
        <v>334</v>
      </c>
      <c r="E6" s="3">
        <v>82.4</v>
      </c>
      <c r="F6" s="3">
        <f>Table3[[#This Row],[Total Hours Nurse Staffing]]/Table3[[#This Row],[MDS Census]]</f>
        <v>4.2957119741100325</v>
      </c>
      <c r="G6" s="3">
        <f>Table3[[#This Row],[Total Direct Care Staff Hours]]/Table3[[#This Row],[MDS Census]]</f>
        <v>4.0654665587918011</v>
      </c>
      <c r="H6" s="3">
        <f>Table3[[#This Row],[Total RN Hours (w/ Admin, DON)]]/Table3[[#This Row],[MDS Census]]</f>
        <v>0.74369606256742182</v>
      </c>
      <c r="I6" s="3">
        <f>Table3[[#This Row],[RN Hours (excl. Admin, DON)]]/Table3[[#This Row],[MDS Census]]</f>
        <v>0.54041936353829556</v>
      </c>
      <c r="J6" s="3">
        <f t="shared" si="0"/>
        <v>353.9666666666667</v>
      </c>
      <c r="K6" s="3">
        <f>SUM(Table3[[#This Row],[RN Hours (excl. Admin, DON)]], Table3[[#This Row],[LPN Hours (excl. Admin)]], Table3[[#This Row],[CNA Hours]], Table3[[#This Row],[NA TR Hours]], Table3[[#This Row],[Med Aide/Tech Hours]])</f>
        <v>334.99444444444441</v>
      </c>
      <c r="L6" s="3">
        <f>SUM(Table3[[#This Row],[RN Hours (excl. Admin, DON)]:[RN DON Hours]])</f>
        <v>61.280555555555559</v>
      </c>
      <c r="M6" s="3">
        <v>44.530555555555559</v>
      </c>
      <c r="N6" s="3">
        <v>11.416666666666666</v>
      </c>
      <c r="O6" s="3">
        <v>5.333333333333333</v>
      </c>
      <c r="P6" s="3">
        <f>SUM(Table3[[#This Row],[LPN Hours (excl. Admin)]:[LPN Admin Hours]])</f>
        <v>58.205555555555556</v>
      </c>
      <c r="Q6" s="3">
        <v>55.983333333333334</v>
      </c>
      <c r="R6" s="3">
        <v>2.2222222222222223</v>
      </c>
      <c r="S6" s="3">
        <f>SUM(Table3[[#This Row],[CNA Hours]], Table3[[#This Row],[NA TR Hours]], Table3[[#This Row],[Med Aide/Tech Hours]])</f>
        <v>234.48055555555555</v>
      </c>
      <c r="T6" s="3">
        <v>199.68333333333334</v>
      </c>
      <c r="U6" s="3">
        <v>12.983333333333333</v>
      </c>
      <c r="V6" s="3">
        <v>21.81388888888889</v>
      </c>
      <c r="W6" s="3">
        <f>SUM(Table3[[#This Row],[RN Hours Contract]:[Med Aide Hours Contract]])</f>
        <v>37.62222222222222</v>
      </c>
      <c r="X6" s="3">
        <v>0</v>
      </c>
      <c r="Y6" s="3">
        <v>0</v>
      </c>
      <c r="Z6" s="3">
        <v>0</v>
      </c>
      <c r="AA6" s="3">
        <v>0</v>
      </c>
      <c r="AB6" s="3">
        <v>0</v>
      </c>
      <c r="AC6" s="3">
        <v>37.62222222222222</v>
      </c>
      <c r="AD6" s="3">
        <v>0</v>
      </c>
      <c r="AE6" s="3">
        <v>0</v>
      </c>
      <c r="AF6" t="s">
        <v>4</v>
      </c>
      <c r="AG6" s="13">
        <v>10</v>
      </c>
      <c r="AQ6"/>
    </row>
    <row r="7" spans="1:43" x14ac:dyDescent="0.2">
      <c r="A7" t="s">
        <v>128</v>
      </c>
      <c r="B7" t="s">
        <v>134</v>
      </c>
      <c r="C7" t="s">
        <v>263</v>
      </c>
      <c r="D7" t="s">
        <v>334</v>
      </c>
      <c r="E7" s="3">
        <v>63.333333333333336</v>
      </c>
      <c r="F7" s="3">
        <f>Table3[[#This Row],[Total Hours Nurse Staffing]]/Table3[[#This Row],[MDS Census]]</f>
        <v>3.9348578947368416</v>
      </c>
      <c r="G7" s="3">
        <f>Table3[[#This Row],[Total Direct Care Staff Hours]]/Table3[[#This Row],[MDS Census]]</f>
        <v>3.4804315789473681</v>
      </c>
      <c r="H7" s="3">
        <f>Table3[[#This Row],[Total RN Hours (w/ Admin, DON)]]/Table3[[#This Row],[MDS Census]]</f>
        <v>0.64687719298245616</v>
      </c>
      <c r="I7" s="3">
        <f>Table3[[#This Row],[RN Hours (excl. Admin, DON)]]/Table3[[#This Row],[MDS Census]]</f>
        <v>0.39002631578947367</v>
      </c>
      <c r="J7" s="3">
        <f t="shared" si="0"/>
        <v>249.20766666666665</v>
      </c>
      <c r="K7" s="3">
        <f>SUM(Table3[[#This Row],[RN Hours (excl. Admin, DON)]], Table3[[#This Row],[LPN Hours (excl. Admin)]], Table3[[#This Row],[CNA Hours]], Table3[[#This Row],[NA TR Hours]], Table3[[#This Row],[Med Aide/Tech Hours]])</f>
        <v>220.42733333333331</v>
      </c>
      <c r="L7" s="3">
        <f>SUM(Table3[[#This Row],[RN Hours (excl. Admin, DON)]:[RN DON Hours]])</f>
        <v>40.968888888888891</v>
      </c>
      <c r="M7" s="3">
        <v>24.701666666666668</v>
      </c>
      <c r="N7" s="3">
        <v>12.622777777777779</v>
      </c>
      <c r="O7" s="3">
        <v>3.6444444444444444</v>
      </c>
      <c r="P7" s="3">
        <f>SUM(Table3[[#This Row],[LPN Hours (excl. Admin)]:[LPN Admin Hours]])</f>
        <v>60.209444444444443</v>
      </c>
      <c r="Q7" s="3">
        <v>47.696333333333335</v>
      </c>
      <c r="R7" s="3">
        <v>12.51311111111111</v>
      </c>
      <c r="S7" s="3">
        <f>SUM(Table3[[#This Row],[CNA Hours]], Table3[[#This Row],[NA TR Hours]], Table3[[#This Row],[Med Aide/Tech Hours]])</f>
        <v>148.02933333333331</v>
      </c>
      <c r="T7" s="3">
        <v>139.60477777777777</v>
      </c>
      <c r="U7" s="3">
        <v>8.2523333333333362</v>
      </c>
      <c r="V7" s="3">
        <v>0.17222222222222222</v>
      </c>
      <c r="W7" s="3">
        <f>SUM(Table3[[#This Row],[RN Hours Contract]:[Med Aide Hours Contract]])</f>
        <v>3.4642222222222223</v>
      </c>
      <c r="X7" s="3">
        <v>1.5277777777777777</v>
      </c>
      <c r="Y7" s="3">
        <v>0</v>
      </c>
      <c r="Z7" s="3">
        <v>0</v>
      </c>
      <c r="AA7" s="3">
        <v>0.1768888888888889</v>
      </c>
      <c r="AB7" s="3">
        <v>0</v>
      </c>
      <c r="AC7" s="3">
        <v>1.6762222222222223</v>
      </c>
      <c r="AD7" s="3">
        <v>0</v>
      </c>
      <c r="AE7" s="3">
        <v>8.3333333333333329E-2</v>
      </c>
      <c r="AF7" t="s">
        <v>5</v>
      </c>
      <c r="AG7" s="13">
        <v>10</v>
      </c>
      <c r="AQ7"/>
    </row>
    <row r="8" spans="1:43" x14ac:dyDescent="0.2">
      <c r="A8" t="s">
        <v>128</v>
      </c>
      <c r="B8" t="s">
        <v>135</v>
      </c>
      <c r="C8" t="s">
        <v>263</v>
      </c>
      <c r="D8" t="s">
        <v>334</v>
      </c>
      <c r="E8" s="3">
        <v>59</v>
      </c>
      <c r="F8" s="3">
        <f>Table3[[#This Row],[Total Hours Nurse Staffing]]/Table3[[#This Row],[MDS Census]]</f>
        <v>4.4821148775894537</v>
      </c>
      <c r="G8" s="3">
        <f>Table3[[#This Row],[Total Direct Care Staff Hours]]/Table3[[#This Row],[MDS Census]]</f>
        <v>3.9307740112994347</v>
      </c>
      <c r="H8" s="3">
        <f>Table3[[#This Row],[Total RN Hours (w/ Admin, DON)]]/Table3[[#This Row],[MDS Census]]</f>
        <v>1.1354651600753296</v>
      </c>
      <c r="I8" s="3">
        <f>Table3[[#This Row],[RN Hours (excl. Admin, DON)]]/Table3[[#This Row],[MDS Census]]</f>
        <v>0.76735781544256121</v>
      </c>
      <c r="J8" s="3">
        <f t="shared" si="0"/>
        <v>264.44477777777774</v>
      </c>
      <c r="K8" s="3">
        <f>SUM(Table3[[#This Row],[RN Hours (excl. Admin, DON)]], Table3[[#This Row],[LPN Hours (excl. Admin)]], Table3[[#This Row],[CNA Hours]], Table3[[#This Row],[NA TR Hours]], Table3[[#This Row],[Med Aide/Tech Hours]])</f>
        <v>231.91566666666665</v>
      </c>
      <c r="L8" s="3">
        <f>SUM(Table3[[#This Row],[RN Hours (excl. Admin, DON)]:[RN DON Hours]])</f>
        <v>66.992444444444445</v>
      </c>
      <c r="M8" s="3">
        <v>45.274111111111111</v>
      </c>
      <c r="N8" s="3">
        <v>16.101666666666667</v>
      </c>
      <c r="O8" s="3">
        <v>5.6166666666666663</v>
      </c>
      <c r="P8" s="3">
        <f>SUM(Table3[[#This Row],[LPN Hours (excl. Admin)]:[LPN Admin Hours]])</f>
        <v>51.456777777777781</v>
      </c>
      <c r="Q8" s="3">
        <v>40.646000000000001</v>
      </c>
      <c r="R8" s="3">
        <v>10.810777777777778</v>
      </c>
      <c r="S8" s="3">
        <f>SUM(Table3[[#This Row],[CNA Hours]], Table3[[#This Row],[NA TR Hours]], Table3[[#This Row],[Med Aide/Tech Hours]])</f>
        <v>145.99555555555554</v>
      </c>
      <c r="T8" s="3">
        <v>141.30699999999999</v>
      </c>
      <c r="U8" s="3">
        <v>4.4496666666666673</v>
      </c>
      <c r="V8" s="3">
        <v>0.2388888888888889</v>
      </c>
      <c r="W8" s="3">
        <f>SUM(Table3[[#This Row],[RN Hours Contract]:[Med Aide Hours Contract]])</f>
        <v>0.21388888888888888</v>
      </c>
      <c r="X8" s="3">
        <v>0</v>
      </c>
      <c r="Y8" s="3">
        <v>0.21388888888888888</v>
      </c>
      <c r="Z8" s="3">
        <v>0</v>
      </c>
      <c r="AA8" s="3">
        <v>0</v>
      </c>
      <c r="AB8" s="3">
        <v>0</v>
      </c>
      <c r="AC8" s="3">
        <v>0</v>
      </c>
      <c r="AD8" s="3">
        <v>0</v>
      </c>
      <c r="AE8" s="3">
        <v>0</v>
      </c>
      <c r="AF8" t="s">
        <v>6</v>
      </c>
      <c r="AG8" s="13">
        <v>10</v>
      </c>
      <c r="AQ8"/>
    </row>
    <row r="9" spans="1:43" x14ac:dyDescent="0.2">
      <c r="A9" t="s">
        <v>128</v>
      </c>
      <c r="B9" t="s">
        <v>136</v>
      </c>
      <c r="C9" t="s">
        <v>281</v>
      </c>
      <c r="D9" t="s">
        <v>335</v>
      </c>
      <c r="E9" s="3">
        <v>49.155555555555559</v>
      </c>
      <c r="F9" s="3">
        <f>Table3[[#This Row],[Total Hours Nurse Staffing]]/Table3[[#This Row],[MDS Census]]</f>
        <v>4.6334742314647377</v>
      </c>
      <c r="G9" s="3">
        <f>Table3[[#This Row],[Total Direct Care Staff Hours]]/Table3[[#This Row],[MDS Census]]</f>
        <v>3.9332640144665469</v>
      </c>
      <c r="H9" s="3">
        <f>Table3[[#This Row],[Total RN Hours (w/ Admin, DON)]]/Table3[[#This Row],[MDS Census]]</f>
        <v>0.92125452079565995</v>
      </c>
      <c r="I9" s="3">
        <f>Table3[[#This Row],[RN Hours (excl. Admin, DON)]]/Table3[[#This Row],[MDS Census]]</f>
        <v>0.46152350813743215</v>
      </c>
      <c r="J9" s="3">
        <f t="shared" si="0"/>
        <v>227.76100000000002</v>
      </c>
      <c r="K9" s="3">
        <f>SUM(Table3[[#This Row],[RN Hours (excl. Admin, DON)]], Table3[[#This Row],[LPN Hours (excl. Admin)]], Table3[[#This Row],[CNA Hours]], Table3[[#This Row],[NA TR Hours]], Table3[[#This Row],[Med Aide/Tech Hours]])</f>
        <v>193.34177777777782</v>
      </c>
      <c r="L9" s="3">
        <f>SUM(Table3[[#This Row],[RN Hours (excl. Admin, DON)]:[RN DON Hours]])</f>
        <v>45.284777777777776</v>
      </c>
      <c r="M9" s="3">
        <v>22.686444444444444</v>
      </c>
      <c r="N9" s="3">
        <v>17.259444444444444</v>
      </c>
      <c r="O9" s="3">
        <v>5.3388888888888886</v>
      </c>
      <c r="P9" s="3">
        <f>SUM(Table3[[#This Row],[LPN Hours (excl. Admin)]:[LPN Admin Hours]])</f>
        <v>45.444444444444443</v>
      </c>
      <c r="Q9" s="3">
        <v>33.623555555555555</v>
      </c>
      <c r="R9" s="3">
        <v>11.82088888888889</v>
      </c>
      <c r="S9" s="3">
        <f>SUM(Table3[[#This Row],[CNA Hours]], Table3[[#This Row],[NA TR Hours]], Table3[[#This Row],[Med Aide/Tech Hours]])</f>
        <v>137.03177777777779</v>
      </c>
      <c r="T9" s="3">
        <v>115.23655555555557</v>
      </c>
      <c r="U9" s="3">
        <v>16.929333333333336</v>
      </c>
      <c r="V9" s="3">
        <v>4.8658888888888887</v>
      </c>
      <c r="W9" s="3">
        <f>SUM(Table3[[#This Row],[RN Hours Contract]:[Med Aide Hours Contract]])</f>
        <v>71.425888888888892</v>
      </c>
      <c r="X9" s="3">
        <v>9.6916666666666664</v>
      </c>
      <c r="Y9" s="3">
        <v>0</v>
      </c>
      <c r="Z9" s="3">
        <v>1.5111111111111111</v>
      </c>
      <c r="AA9" s="3">
        <v>14.438888888888888</v>
      </c>
      <c r="AB9" s="3">
        <v>0</v>
      </c>
      <c r="AC9" s="3">
        <v>45.784222222222219</v>
      </c>
      <c r="AD9" s="3">
        <v>0</v>
      </c>
      <c r="AE9" s="3">
        <v>0</v>
      </c>
      <c r="AF9" t="s">
        <v>7</v>
      </c>
      <c r="AG9" s="13">
        <v>10</v>
      </c>
      <c r="AQ9"/>
    </row>
    <row r="10" spans="1:43" x14ac:dyDescent="0.2">
      <c r="A10" t="s">
        <v>128</v>
      </c>
      <c r="B10" t="s">
        <v>137</v>
      </c>
      <c r="C10" t="s">
        <v>282</v>
      </c>
      <c r="D10" t="s">
        <v>336</v>
      </c>
      <c r="E10" s="3">
        <v>60.366666666666667</v>
      </c>
      <c r="F10" s="3">
        <f>Table3[[#This Row],[Total Hours Nurse Staffing]]/Table3[[#This Row],[MDS Census]]</f>
        <v>4.441857169151481</v>
      </c>
      <c r="G10" s="3">
        <f>Table3[[#This Row],[Total Direct Care Staff Hours]]/Table3[[#This Row],[MDS Census]]</f>
        <v>4.1159580342352289</v>
      </c>
      <c r="H10" s="3">
        <f>Table3[[#This Row],[Total RN Hours (w/ Admin, DON)]]/Table3[[#This Row],[MDS Census]]</f>
        <v>0.97880728879072332</v>
      </c>
      <c r="I10" s="3">
        <f>Table3[[#This Row],[RN Hours (excl. Admin, DON)]]/Table3[[#This Row],[MDS Census]]</f>
        <v>0.74447818884594152</v>
      </c>
      <c r="J10" s="3">
        <f t="shared" si="0"/>
        <v>268.14011111111108</v>
      </c>
      <c r="K10" s="3">
        <f>SUM(Table3[[#This Row],[RN Hours (excl. Admin, DON)]], Table3[[#This Row],[LPN Hours (excl. Admin)]], Table3[[#This Row],[CNA Hours]], Table3[[#This Row],[NA TR Hours]], Table3[[#This Row],[Med Aide/Tech Hours]])</f>
        <v>248.46666666666664</v>
      </c>
      <c r="L10" s="3">
        <f>SUM(Table3[[#This Row],[RN Hours (excl. Admin, DON)]:[RN DON Hours]])</f>
        <v>59.087333333333333</v>
      </c>
      <c r="M10" s="3">
        <v>44.94166666666667</v>
      </c>
      <c r="N10" s="3">
        <v>8.3666666666666671</v>
      </c>
      <c r="O10" s="3">
        <v>5.7789999999999999</v>
      </c>
      <c r="P10" s="3">
        <f>SUM(Table3[[#This Row],[LPN Hours (excl. Admin)]:[LPN Admin Hours]])</f>
        <v>22.819444444444446</v>
      </c>
      <c r="Q10" s="3">
        <v>17.291666666666668</v>
      </c>
      <c r="R10" s="3">
        <v>5.5277777777777777</v>
      </c>
      <c r="S10" s="3">
        <f>SUM(Table3[[#This Row],[CNA Hours]], Table3[[#This Row],[NA TR Hours]], Table3[[#This Row],[Med Aide/Tech Hours]])</f>
        <v>186.23333333333332</v>
      </c>
      <c r="T10" s="3">
        <v>158.6861111111111</v>
      </c>
      <c r="U10" s="3">
        <v>0</v>
      </c>
      <c r="V10" s="3">
        <v>27.547222222222221</v>
      </c>
      <c r="W10" s="3">
        <f>SUM(Table3[[#This Row],[RN Hours Contract]:[Med Aide Hours Contract]])</f>
        <v>0</v>
      </c>
      <c r="X10" s="3">
        <v>0</v>
      </c>
      <c r="Y10" s="3">
        <v>0</v>
      </c>
      <c r="Z10" s="3">
        <v>0</v>
      </c>
      <c r="AA10" s="3">
        <v>0</v>
      </c>
      <c r="AB10" s="3">
        <v>0</v>
      </c>
      <c r="AC10" s="3">
        <v>0</v>
      </c>
      <c r="AD10" s="3">
        <v>0</v>
      </c>
      <c r="AE10" s="3">
        <v>0</v>
      </c>
      <c r="AF10" t="s">
        <v>8</v>
      </c>
      <c r="AG10" s="13">
        <v>10</v>
      </c>
      <c r="AQ10"/>
    </row>
    <row r="11" spans="1:43" x14ac:dyDescent="0.2">
      <c r="A11" t="s">
        <v>128</v>
      </c>
      <c r="B11" t="s">
        <v>138</v>
      </c>
      <c r="C11" t="s">
        <v>281</v>
      </c>
      <c r="D11" t="s">
        <v>335</v>
      </c>
      <c r="E11" s="3">
        <v>73.222222222222229</v>
      </c>
      <c r="F11" s="3">
        <f>Table3[[#This Row],[Total Hours Nurse Staffing]]/Table3[[#This Row],[MDS Census]]</f>
        <v>4.6683125948406676</v>
      </c>
      <c r="G11" s="3">
        <f>Table3[[#This Row],[Total Direct Care Staff Hours]]/Table3[[#This Row],[MDS Census]]</f>
        <v>4.4322352048558429</v>
      </c>
      <c r="H11" s="3">
        <f>Table3[[#This Row],[Total RN Hours (w/ Admin, DON)]]/Table3[[#This Row],[MDS Census]]</f>
        <v>0.8214339908952959</v>
      </c>
      <c r="I11" s="3">
        <f>Table3[[#This Row],[RN Hours (excl. Admin, DON)]]/Table3[[#This Row],[MDS Census]]</f>
        <v>0.58535660091047037</v>
      </c>
      <c r="J11" s="3">
        <f t="shared" si="0"/>
        <v>341.82422222222226</v>
      </c>
      <c r="K11" s="3">
        <f>SUM(Table3[[#This Row],[RN Hours (excl. Admin, DON)]], Table3[[#This Row],[LPN Hours (excl. Admin)]], Table3[[#This Row],[CNA Hours]], Table3[[#This Row],[NA TR Hours]], Table3[[#This Row],[Med Aide/Tech Hours]])</f>
        <v>324.53811111111116</v>
      </c>
      <c r="L11" s="3">
        <f>SUM(Table3[[#This Row],[RN Hours (excl. Admin, DON)]:[RN DON Hours]])</f>
        <v>60.147222222222226</v>
      </c>
      <c r="M11" s="3">
        <v>42.861111111111114</v>
      </c>
      <c r="N11" s="3">
        <v>12.308333333333334</v>
      </c>
      <c r="O11" s="3">
        <v>4.9777777777777779</v>
      </c>
      <c r="P11" s="3">
        <f>SUM(Table3[[#This Row],[LPN Hours (excl. Admin)]:[LPN Admin Hours]])</f>
        <v>73.022222222222226</v>
      </c>
      <c r="Q11" s="3">
        <v>73.022222222222226</v>
      </c>
      <c r="R11" s="3">
        <v>0</v>
      </c>
      <c r="S11" s="3">
        <f>SUM(Table3[[#This Row],[CNA Hours]], Table3[[#This Row],[NA TR Hours]], Table3[[#This Row],[Med Aide/Tech Hours]])</f>
        <v>208.65477777777778</v>
      </c>
      <c r="T11" s="3">
        <v>173.83255555555556</v>
      </c>
      <c r="U11" s="3">
        <v>8.6861111111111118</v>
      </c>
      <c r="V11" s="3">
        <v>26.136111111111113</v>
      </c>
      <c r="W11" s="3">
        <f>SUM(Table3[[#This Row],[RN Hours Contract]:[Med Aide Hours Contract]])</f>
        <v>21.824222222222222</v>
      </c>
      <c r="X11" s="3">
        <v>0</v>
      </c>
      <c r="Y11" s="3">
        <v>0</v>
      </c>
      <c r="Z11" s="3">
        <v>0</v>
      </c>
      <c r="AA11" s="3">
        <v>0</v>
      </c>
      <c r="AB11" s="3">
        <v>0</v>
      </c>
      <c r="AC11" s="3">
        <v>21.824222222222222</v>
      </c>
      <c r="AD11" s="3">
        <v>0</v>
      </c>
      <c r="AE11" s="3">
        <v>0</v>
      </c>
      <c r="AF11" t="s">
        <v>9</v>
      </c>
      <c r="AG11" s="13">
        <v>10</v>
      </c>
      <c r="AQ11"/>
    </row>
    <row r="12" spans="1:43" x14ac:dyDescent="0.2">
      <c r="A12" t="s">
        <v>128</v>
      </c>
      <c r="B12" t="s">
        <v>139</v>
      </c>
      <c r="C12" t="s">
        <v>263</v>
      </c>
      <c r="D12" t="s">
        <v>334</v>
      </c>
      <c r="E12" s="3">
        <v>43.055555555555557</v>
      </c>
      <c r="F12" s="3">
        <f>Table3[[#This Row],[Total Hours Nurse Staffing]]/Table3[[#This Row],[MDS Census]]</f>
        <v>4.1465187096774194</v>
      </c>
      <c r="G12" s="3">
        <f>Table3[[#This Row],[Total Direct Care Staff Hours]]/Table3[[#This Row],[MDS Census]]</f>
        <v>3.7514064516129029</v>
      </c>
      <c r="H12" s="3">
        <f>Table3[[#This Row],[Total RN Hours (w/ Admin, DON)]]/Table3[[#This Row],[MDS Census]]</f>
        <v>0.83410064516129034</v>
      </c>
      <c r="I12" s="3">
        <f>Table3[[#This Row],[RN Hours (excl. Admin, DON)]]/Table3[[#This Row],[MDS Census]]</f>
        <v>0.43898838709677418</v>
      </c>
      <c r="J12" s="3">
        <f t="shared" si="0"/>
        <v>178.53066666666666</v>
      </c>
      <c r="K12" s="3">
        <f>SUM(Table3[[#This Row],[RN Hours (excl. Admin, DON)]], Table3[[#This Row],[LPN Hours (excl. Admin)]], Table3[[#This Row],[CNA Hours]], Table3[[#This Row],[NA TR Hours]], Table3[[#This Row],[Med Aide/Tech Hours]])</f>
        <v>161.51888888888888</v>
      </c>
      <c r="L12" s="3">
        <f>SUM(Table3[[#This Row],[RN Hours (excl. Admin, DON)]:[RN DON Hours]])</f>
        <v>35.912666666666667</v>
      </c>
      <c r="M12" s="3">
        <v>18.90088888888889</v>
      </c>
      <c r="N12" s="3">
        <v>11.478444444444444</v>
      </c>
      <c r="O12" s="3">
        <v>5.5333333333333332</v>
      </c>
      <c r="P12" s="3">
        <f>SUM(Table3[[#This Row],[LPN Hours (excl. Admin)]:[LPN Admin Hours]])</f>
        <v>25.185111111111109</v>
      </c>
      <c r="Q12" s="3">
        <v>25.185111111111109</v>
      </c>
      <c r="R12" s="3">
        <v>0</v>
      </c>
      <c r="S12" s="3">
        <f>SUM(Table3[[#This Row],[CNA Hours]], Table3[[#This Row],[NA TR Hours]], Table3[[#This Row],[Med Aide/Tech Hours]])</f>
        <v>117.43288888888888</v>
      </c>
      <c r="T12" s="3">
        <v>107.08877777777778</v>
      </c>
      <c r="U12" s="3">
        <v>3.4354444444444452</v>
      </c>
      <c r="V12" s="3">
        <v>6.9086666666666678</v>
      </c>
      <c r="W12" s="3">
        <f>SUM(Table3[[#This Row],[RN Hours Contract]:[Med Aide Hours Contract]])</f>
        <v>7.7777777777777779E-2</v>
      </c>
      <c r="X12" s="3">
        <v>7.7777777777777779E-2</v>
      </c>
      <c r="Y12" s="3">
        <v>0</v>
      </c>
      <c r="Z12" s="3">
        <v>0</v>
      </c>
      <c r="AA12" s="3">
        <v>0</v>
      </c>
      <c r="AB12" s="3">
        <v>0</v>
      </c>
      <c r="AC12" s="3">
        <v>0</v>
      </c>
      <c r="AD12" s="3">
        <v>0</v>
      </c>
      <c r="AE12" s="3">
        <v>0</v>
      </c>
      <c r="AF12" t="s">
        <v>10</v>
      </c>
      <c r="AG12" s="13">
        <v>10</v>
      </c>
      <c r="AQ12"/>
    </row>
    <row r="13" spans="1:43" x14ac:dyDescent="0.2">
      <c r="A13" t="s">
        <v>128</v>
      </c>
      <c r="B13" t="s">
        <v>140</v>
      </c>
      <c r="C13" t="s">
        <v>283</v>
      </c>
      <c r="D13" t="s">
        <v>337</v>
      </c>
      <c r="E13" s="3">
        <v>41.8</v>
      </c>
      <c r="F13" s="3">
        <f>Table3[[#This Row],[Total Hours Nurse Staffing]]/Table3[[#This Row],[MDS Census]]</f>
        <v>4.2249016480595438</v>
      </c>
      <c r="G13" s="3">
        <f>Table3[[#This Row],[Total Direct Care Staff Hours]]/Table3[[#This Row],[MDS Census]]</f>
        <v>4.0599760765550243</v>
      </c>
      <c r="H13" s="3">
        <f>Table3[[#This Row],[Total RN Hours (w/ Admin, DON)]]/Table3[[#This Row],[MDS Census]]</f>
        <v>0.38963317384370016</v>
      </c>
      <c r="I13" s="3">
        <f>Table3[[#This Row],[RN Hours (excl. Admin, DON)]]/Table3[[#This Row],[MDS Census]]</f>
        <v>0.26999734183944712</v>
      </c>
      <c r="J13" s="3">
        <f t="shared" si="0"/>
        <v>176.6008888888889</v>
      </c>
      <c r="K13" s="3">
        <f>SUM(Table3[[#This Row],[RN Hours (excl. Admin, DON)]], Table3[[#This Row],[LPN Hours (excl. Admin)]], Table3[[#This Row],[CNA Hours]], Table3[[#This Row],[NA TR Hours]], Table3[[#This Row],[Med Aide/Tech Hours]])</f>
        <v>169.70699999999999</v>
      </c>
      <c r="L13" s="3">
        <f>SUM(Table3[[#This Row],[RN Hours (excl. Admin, DON)]:[RN DON Hours]])</f>
        <v>16.286666666666665</v>
      </c>
      <c r="M13" s="3">
        <v>11.28588888888889</v>
      </c>
      <c r="N13" s="3">
        <v>0</v>
      </c>
      <c r="O13" s="3">
        <v>5.0007777777777767</v>
      </c>
      <c r="P13" s="3">
        <f>SUM(Table3[[#This Row],[LPN Hours (excl. Admin)]:[LPN Admin Hours]])</f>
        <v>32.794555555555561</v>
      </c>
      <c r="Q13" s="3">
        <v>30.901444444444447</v>
      </c>
      <c r="R13" s="3">
        <v>1.8931111111111114</v>
      </c>
      <c r="S13" s="3">
        <f>SUM(Table3[[#This Row],[CNA Hours]], Table3[[#This Row],[NA TR Hours]], Table3[[#This Row],[Med Aide/Tech Hours]])</f>
        <v>127.51966666666668</v>
      </c>
      <c r="T13" s="3">
        <v>123.2778888888889</v>
      </c>
      <c r="U13" s="3">
        <v>0</v>
      </c>
      <c r="V13" s="3">
        <v>4.2417777777777781</v>
      </c>
      <c r="W13" s="3">
        <f>SUM(Table3[[#This Row],[RN Hours Contract]:[Med Aide Hours Contract]])</f>
        <v>0</v>
      </c>
      <c r="X13" s="3">
        <v>0</v>
      </c>
      <c r="Y13" s="3">
        <v>0</v>
      </c>
      <c r="Z13" s="3">
        <v>0</v>
      </c>
      <c r="AA13" s="3">
        <v>0</v>
      </c>
      <c r="AB13" s="3">
        <v>0</v>
      </c>
      <c r="AC13" s="3">
        <v>0</v>
      </c>
      <c r="AD13" s="3">
        <v>0</v>
      </c>
      <c r="AE13" s="3">
        <v>0</v>
      </c>
      <c r="AF13" t="s">
        <v>11</v>
      </c>
      <c r="AG13" s="13">
        <v>10</v>
      </c>
      <c r="AQ13"/>
    </row>
    <row r="14" spans="1:43" x14ac:dyDescent="0.2">
      <c r="A14" t="s">
        <v>128</v>
      </c>
      <c r="B14" t="s">
        <v>141</v>
      </c>
      <c r="C14" t="s">
        <v>279</v>
      </c>
      <c r="D14" t="s">
        <v>334</v>
      </c>
      <c r="E14" s="3">
        <v>59.06666666666667</v>
      </c>
      <c r="F14" s="3">
        <f>Table3[[#This Row],[Total Hours Nurse Staffing]]/Table3[[#This Row],[MDS Census]]</f>
        <v>5.488352144469526</v>
      </c>
      <c r="G14" s="3">
        <f>Table3[[#This Row],[Total Direct Care Staff Hours]]/Table3[[#This Row],[MDS Census]]</f>
        <v>5.1241685477802861</v>
      </c>
      <c r="H14" s="3">
        <f>Table3[[#This Row],[Total RN Hours (w/ Admin, DON)]]/Table3[[#This Row],[MDS Census]]</f>
        <v>0.69620203160270888</v>
      </c>
      <c r="I14" s="3">
        <f>Table3[[#This Row],[RN Hours (excl. Admin, DON)]]/Table3[[#This Row],[MDS Census]]</f>
        <v>0.59988901429646357</v>
      </c>
      <c r="J14" s="3">
        <f t="shared" si="0"/>
        <v>324.17866666666669</v>
      </c>
      <c r="K14" s="3">
        <f>SUM(Table3[[#This Row],[RN Hours (excl. Admin, DON)]], Table3[[#This Row],[LPN Hours (excl. Admin)]], Table3[[#This Row],[CNA Hours]], Table3[[#This Row],[NA TR Hours]], Table3[[#This Row],[Med Aide/Tech Hours]])</f>
        <v>302.66755555555557</v>
      </c>
      <c r="L14" s="3">
        <f>SUM(Table3[[#This Row],[RN Hours (excl. Admin, DON)]:[RN DON Hours]])</f>
        <v>41.122333333333337</v>
      </c>
      <c r="M14" s="3">
        <v>35.433444444444447</v>
      </c>
      <c r="N14" s="3">
        <v>0</v>
      </c>
      <c r="O14" s="3">
        <v>5.6888888888888891</v>
      </c>
      <c r="P14" s="3">
        <f>SUM(Table3[[#This Row],[LPN Hours (excl. Admin)]:[LPN Admin Hours]])</f>
        <v>53.92977777777778</v>
      </c>
      <c r="Q14" s="3">
        <v>38.107555555555557</v>
      </c>
      <c r="R14" s="3">
        <v>15.822222222222223</v>
      </c>
      <c r="S14" s="3">
        <f>SUM(Table3[[#This Row],[CNA Hours]], Table3[[#This Row],[NA TR Hours]], Table3[[#This Row],[Med Aide/Tech Hours]])</f>
        <v>229.12655555555557</v>
      </c>
      <c r="T14" s="3">
        <v>199.15544444444447</v>
      </c>
      <c r="U14" s="3">
        <v>0</v>
      </c>
      <c r="V14" s="3">
        <v>29.971111111111114</v>
      </c>
      <c r="W14" s="3">
        <f>SUM(Table3[[#This Row],[RN Hours Contract]:[Med Aide Hours Contract]])</f>
        <v>0</v>
      </c>
      <c r="X14" s="3">
        <v>0</v>
      </c>
      <c r="Y14" s="3">
        <v>0</v>
      </c>
      <c r="Z14" s="3">
        <v>0</v>
      </c>
      <c r="AA14" s="3">
        <v>0</v>
      </c>
      <c r="AB14" s="3">
        <v>0</v>
      </c>
      <c r="AC14" s="3">
        <v>0</v>
      </c>
      <c r="AD14" s="3">
        <v>0</v>
      </c>
      <c r="AE14" s="3">
        <v>0</v>
      </c>
      <c r="AF14" t="s">
        <v>12</v>
      </c>
      <c r="AG14" s="13">
        <v>10</v>
      </c>
      <c r="AQ14"/>
    </row>
    <row r="15" spans="1:43" x14ac:dyDescent="0.2">
      <c r="A15" t="s">
        <v>128</v>
      </c>
      <c r="B15" t="s">
        <v>142</v>
      </c>
      <c r="C15" t="s">
        <v>284</v>
      </c>
      <c r="D15" t="s">
        <v>323</v>
      </c>
      <c r="E15" s="3">
        <v>62.777777777777779</v>
      </c>
      <c r="F15" s="3">
        <f>Table3[[#This Row],[Total Hours Nurse Staffing]]/Table3[[#This Row],[MDS Census]]</f>
        <v>5.2112247787610615</v>
      </c>
      <c r="G15" s="3">
        <f>Table3[[#This Row],[Total Direct Care Staff Hours]]/Table3[[#This Row],[MDS Census]]</f>
        <v>4.7031274336283184</v>
      </c>
      <c r="H15" s="3">
        <f>Table3[[#This Row],[Total RN Hours (w/ Admin, DON)]]/Table3[[#This Row],[MDS Census]]</f>
        <v>0.84114159292035395</v>
      </c>
      <c r="I15" s="3">
        <f>Table3[[#This Row],[RN Hours (excl. Admin, DON)]]/Table3[[#This Row],[MDS Census]]</f>
        <v>0.43592035398230083</v>
      </c>
      <c r="J15" s="3">
        <f t="shared" si="0"/>
        <v>327.1491111111111</v>
      </c>
      <c r="K15" s="3">
        <f>SUM(Table3[[#This Row],[RN Hours (excl. Admin, DON)]], Table3[[#This Row],[LPN Hours (excl. Admin)]], Table3[[#This Row],[CNA Hours]], Table3[[#This Row],[NA TR Hours]], Table3[[#This Row],[Med Aide/Tech Hours]])</f>
        <v>295.25188888888886</v>
      </c>
      <c r="L15" s="3">
        <f>SUM(Table3[[#This Row],[RN Hours (excl. Admin, DON)]:[RN DON Hours]])</f>
        <v>52.805</v>
      </c>
      <c r="M15" s="3">
        <v>27.36611111111111</v>
      </c>
      <c r="N15" s="3">
        <v>20.194444444444443</v>
      </c>
      <c r="O15" s="3">
        <v>5.2444444444444445</v>
      </c>
      <c r="P15" s="3">
        <f>SUM(Table3[[#This Row],[LPN Hours (excl. Admin)]:[LPN Admin Hours]])</f>
        <v>59.044888888888892</v>
      </c>
      <c r="Q15" s="3">
        <v>52.586555555555556</v>
      </c>
      <c r="R15" s="3">
        <v>6.458333333333333</v>
      </c>
      <c r="S15" s="3">
        <f>SUM(Table3[[#This Row],[CNA Hours]], Table3[[#This Row],[NA TR Hours]], Table3[[#This Row],[Med Aide/Tech Hours]])</f>
        <v>215.29922222222223</v>
      </c>
      <c r="T15" s="3">
        <v>173.697</v>
      </c>
      <c r="U15" s="3">
        <v>20.068555555555555</v>
      </c>
      <c r="V15" s="3">
        <v>21.533666666666669</v>
      </c>
      <c r="W15" s="3">
        <f>SUM(Table3[[#This Row],[RN Hours Contract]:[Med Aide Hours Contract]])</f>
        <v>71.646888888888881</v>
      </c>
      <c r="X15" s="3">
        <v>2.6027777777777779</v>
      </c>
      <c r="Y15" s="3">
        <v>0</v>
      </c>
      <c r="Z15" s="3">
        <v>0</v>
      </c>
      <c r="AA15" s="3">
        <v>14.972222222222221</v>
      </c>
      <c r="AB15" s="3">
        <v>0</v>
      </c>
      <c r="AC15" s="3">
        <v>53.771888888888881</v>
      </c>
      <c r="AD15" s="3">
        <v>0</v>
      </c>
      <c r="AE15" s="3">
        <v>0.3</v>
      </c>
      <c r="AF15" t="s">
        <v>13</v>
      </c>
      <c r="AG15" s="13">
        <v>10</v>
      </c>
      <c r="AQ15"/>
    </row>
    <row r="16" spans="1:43" x14ac:dyDescent="0.2">
      <c r="A16" t="s">
        <v>128</v>
      </c>
      <c r="B16" t="s">
        <v>143</v>
      </c>
      <c r="C16" t="s">
        <v>262</v>
      </c>
      <c r="D16" t="s">
        <v>335</v>
      </c>
      <c r="E16" s="3">
        <v>67.288888888888891</v>
      </c>
      <c r="F16" s="3">
        <f>Table3[[#This Row],[Total Hours Nurse Staffing]]/Table3[[#This Row],[MDS Census]]</f>
        <v>5.3286443196829589</v>
      </c>
      <c r="G16" s="3">
        <f>Table3[[#This Row],[Total Direct Care Staff Hours]]/Table3[[#This Row],[MDS Census]]</f>
        <v>4.8706109643328928</v>
      </c>
      <c r="H16" s="3">
        <f>Table3[[#This Row],[Total RN Hours (w/ Admin, DON)]]/Table3[[#This Row],[MDS Census]]</f>
        <v>0.65414795244385737</v>
      </c>
      <c r="I16" s="3">
        <f>Table3[[#This Row],[RN Hours (excl. Admin, DON)]]/Table3[[#This Row],[MDS Census]]</f>
        <v>0.19611459709379128</v>
      </c>
      <c r="J16" s="3">
        <f t="shared" si="0"/>
        <v>358.55855555555559</v>
      </c>
      <c r="K16" s="3">
        <f>SUM(Table3[[#This Row],[RN Hours (excl. Admin, DON)]], Table3[[#This Row],[LPN Hours (excl. Admin)]], Table3[[#This Row],[CNA Hours]], Table3[[#This Row],[NA TR Hours]], Table3[[#This Row],[Med Aide/Tech Hours]])</f>
        <v>327.738</v>
      </c>
      <c r="L16" s="3">
        <f>SUM(Table3[[#This Row],[RN Hours (excl. Admin, DON)]:[RN DON Hours]])</f>
        <v>44.016888888888893</v>
      </c>
      <c r="M16" s="3">
        <v>13.196333333333333</v>
      </c>
      <c r="N16" s="3">
        <v>25.220555555555556</v>
      </c>
      <c r="O16" s="3">
        <v>5.6</v>
      </c>
      <c r="P16" s="3">
        <f>SUM(Table3[[#This Row],[LPN Hours (excl. Admin)]:[LPN Admin Hours]])</f>
        <v>81.00833333333334</v>
      </c>
      <c r="Q16" s="3">
        <v>81.00833333333334</v>
      </c>
      <c r="R16" s="3">
        <v>0</v>
      </c>
      <c r="S16" s="3">
        <f>SUM(Table3[[#This Row],[CNA Hours]], Table3[[#This Row],[NA TR Hours]], Table3[[#This Row],[Med Aide/Tech Hours]])</f>
        <v>233.53333333333336</v>
      </c>
      <c r="T16" s="3">
        <v>166.50555555555556</v>
      </c>
      <c r="U16" s="3">
        <v>33.411111111111111</v>
      </c>
      <c r="V16" s="3">
        <v>33.616666666666667</v>
      </c>
      <c r="W16" s="3">
        <f>SUM(Table3[[#This Row],[RN Hours Contract]:[Med Aide Hours Contract]])</f>
        <v>5.2166666666666668</v>
      </c>
      <c r="X16" s="3">
        <v>0</v>
      </c>
      <c r="Y16" s="3">
        <v>0</v>
      </c>
      <c r="Z16" s="3">
        <v>0</v>
      </c>
      <c r="AA16" s="3">
        <v>4.3777777777777782</v>
      </c>
      <c r="AB16" s="3">
        <v>0</v>
      </c>
      <c r="AC16" s="3">
        <v>0.75</v>
      </c>
      <c r="AD16" s="3">
        <v>0</v>
      </c>
      <c r="AE16" s="3">
        <v>8.8888888888888892E-2</v>
      </c>
      <c r="AF16" t="s">
        <v>14</v>
      </c>
      <c r="AG16" s="13">
        <v>10</v>
      </c>
      <c r="AQ16"/>
    </row>
    <row r="17" spans="1:43" x14ac:dyDescent="0.2">
      <c r="A17" t="s">
        <v>128</v>
      </c>
      <c r="B17" t="s">
        <v>144</v>
      </c>
      <c r="C17" t="s">
        <v>273</v>
      </c>
      <c r="D17" t="s">
        <v>319</v>
      </c>
      <c r="E17" s="3">
        <v>55.93333333333333</v>
      </c>
      <c r="F17" s="3">
        <f>Table3[[#This Row],[Total Hours Nurse Staffing]]/Table3[[#This Row],[MDS Census]]</f>
        <v>5.5587882399682158</v>
      </c>
      <c r="G17" s="3">
        <f>Table3[[#This Row],[Total Direct Care Staff Hours]]/Table3[[#This Row],[MDS Census]]</f>
        <v>5.125951529598729</v>
      </c>
      <c r="H17" s="3">
        <f>Table3[[#This Row],[Total RN Hours (w/ Admin, DON)]]/Table3[[#This Row],[MDS Census]]</f>
        <v>0.5244477552642034</v>
      </c>
      <c r="I17" s="3">
        <f>Table3[[#This Row],[RN Hours (excl. Admin, DON)]]/Table3[[#This Row],[MDS Census]]</f>
        <v>0.35793007548669054</v>
      </c>
      <c r="J17" s="3">
        <f t="shared" si="0"/>
        <v>310.92155555555553</v>
      </c>
      <c r="K17" s="3">
        <f>SUM(Table3[[#This Row],[RN Hours (excl. Admin, DON)]], Table3[[#This Row],[LPN Hours (excl. Admin)]], Table3[[#This Row],[CNA Hours]], Table3[[#This Row],[NA TR Hours]], Table3[[#This Row],[Med Aide/Tech Hours]])</f>
        <v>286.71155555555555</v>
      </c>
      <c r="L17" s="3">
        <f>SUM(Table3[[#This Row],[RN Hours (excl. Admin, DON)]:[RN DON Hours]])</f>
        <v>29.33411111111111</v>
      </c>
      <c r="M17" s="3">
        <v>20.020222222222223</v>
      </c>
      <c r="N17" s="3">
        <v>6.2027777777777775</v>
      </c>
      <c r="O17" s="3">
        <v>3.1111111111111112</v>
      </c>
      <c r="P17" s="3">
        <f>SUM(Table3[[#This Row],[LPN Hours (excl. Admin)]:[LPN Admin Hours]])</f>
        <v>95.48255555555555</v>
      </c>
      <c r="Q17" s="3">
        <v>80.586444444444439</v>
      </c>
      <c r="R17" s="3">
        <v>14.896111111111113</v>
      </c>
      <c r="S17" s="3">
        <f>SUM(Table3[[#This Row],[CNA Hours]], Table3[[#This Row],[NA TR Hours]], Table3[[#This Row],[Med Aide/Tech Hours]])</f>
        <v>186.10488888888889</v>
      </c>
      <c r="T17" s="3">
        <v>164.77500000000001</v>
      </c>
      <c r="U17" s="3">
        <v>11.201111111111111</v>
      </c>
      <c r="V17" s="3">
        <v>10.128777777777778</v>
      </c>
      <c r="W17" s="3">
        <f>SUM(Table3[[#This Row],[RN Hours Contract]:[Med Aide Hours Contract]])</f>
        <v>85.748888888888871</v>
      </c>
      <c r="X17" s="3">
        <v>3.1194444444444445</v>
      </c>
      <c r="Y17" s="3">
        <v>0</v>
      </c>
      <c r="Z17" s="3">
        <v>0</v>
      </c>
      <c r="AA17" s="3">
        <v>24.786111111111111</v>
      </c>
      <c r="AB17" s="3">
        <v>0</v>
      </c>
      <c r="AC17" s="3">
        <v>57.226666666666652</v>
      </c>
      <c r="AD17" s="3">
        <v>0</v>
      </c>
      <c r="AE17" s="3">
        <v>0.6166666666666667</v>
      </c>
      <c r="AF17" t="s">
        <v>15</v>
      </c>
      <c r="AG17" s="13">
        <v>10</v>
      </c>
      <c r="AQ17"/>
    </row>
    <row r="18" spans="1:43" x14ac:dyDescent="0.2">
      <c r="A18" t="s">
        <v>128</v>
      </c>
      <c r="B18" t="s">
        <v>145</v>
      </c>
      <c r="C18" t="s">
        <v>285</v>
      </c>
      <c r="D18" t="s">
        <v>338</v>
      </c>
      <c r="E18" s="3">
        <v>41.411111111111111</v>
      </c>
      <c r="F18" s="3">
        <f>Table3[[#This Row],[Total Hours Nurse Staffing]]/Table3[[#This Row],[MDS Census]]</f>
        <v>5.003163402200161</v>
      </c>
      <c r="G18" s="3">
        <f>Table3[[#This Row],[Total Direct Care Staff Hours]]/Table3[[#This Row],[MDS Census]]</f>
        <v>4.4893345854574722</v>
      </c>
      <c r="H18" s="3">
        <f>Table3[[#This Row],[Total RN Hours (w/ Admin, DON)]]/Table3[[#This Row],[MDS Census]]</f>
        <v>1.3045505768714785</v>
      </c>
      <c r="I18" s="3">
        <f>Table3[[#This Row],[RN Hours (excl. Admin, DON)]]/Table3[[#This Row],[MDS Census]]</f>
        <v>0.84572578481352301</v>
      </c>
      <c r="J18" s="3">
        <f t="shared" si="0"/>
        <v>207.18655555555554</v>
      </c>
      <c r="K18" s="3">
        <f>SUM(Table3[[#This Row],[RN Hours (excl. Admin, DON)]], Table3[[#This Row],[LPN Hours (excl. Admin)]], Table3[[#This Row],[CNA Hours]], Table3[[#This Row],[NA TR Hours]], Table3[[#This Row],[Med Aide/Tech Hours]])</f>
        <v>185.90833333333333</v>
      </c>
      <c r="L18" s="3">
        <f>SUM(Table3[[#This Row],[RN Hours (excl. Admin, DON)]:[RN DON Hours]])</f>
        <v>54.022888888888893</v>
      </c>
      <c r="M18" s="3">
        <v>35.022444444444446</v>
      </c>
      <c r="N18" s="3">
        <v>16.067111111111117</v>
      </c>
      <c r="O18" s="3">
        <v>2.9333333333333331</v>
      </c>
      <c r="P18" s="3">
        <f>SUM(Table3[[#This Row],[LPN Hours (excl. Admin)]:[LPN Admin Hours]])</f>
        <v>32.721333333333334</v>
      </c>
      <c r="Q18" s="3">
        <v>30.443555555555555</v>
      </c>
      <c r="R18" s="3">
        <v>2.2777777777777777</v>
      </c>
      <c r="S18" s="3">
        <f>SUM(Table3[[#This Row],[CNA Hours]], Table3[[#This Row],[NA TR Hours]], Table3[[#This Row],[Med Aide/Tech Hours]])</f>
        <v>120.44233333333332</v>
      </c>
      <c r="T18" s="3">
        <v>120.44233333333332</v>
      </c>
      <c r="U18" s="3">
        <v>0</v>
      </c>
      <c r="V18" s="3">
        <v>0</v>
      </c>
      <c r="W18" s="3">
        <f>SUM(Table3[[#This Row],[RN Hours Contract]:[Med Aide Hours Contract]])</f>
        <v>1.5627777777777778</v>
      </c>
      <c r="X18" s="3">
        <v>1.5627777777777778</v>
      </c>
      <c r="Y18" s="3">
        <v>0</v>
      </c>
      <c r="Z18" s="3">
        <v>0</v>
      </c>
      <c r="AA18" s="3">
        <v>0</v>
      </c>
      <c r="AB18" s="3">
        <v>0</v>
      </c>
      <c r="AC18" s="3">
        <v>0</v>
      </c>
      <c r="AD18" s="3">
        <v>0</v>
      </c>
      <c r="AE18" s="3">
        <v>0</v>
      </c>
      <c r="AF18" t="s">
        <v>16</v>
      </c>
      <c r="AG18" s="13">
        <v>10</v>
      </c>
      <c r="AQ18"/>
    </row>
    <row r="19" spans="1:43" x14ac:dyDescent="0.2">
      <c r="A19" t="s">
        <v>128</v>
      </c>
      <c r="B19" t="s">
        <v>146</v>
      </c>
      <c r="C19" t="s">
        <v>265</v>
      </c>
      <c r="D19" t="s">
        <v>331</v>
      </c>
      <c r="E19" s="3">
        <v>57.133333333333333</v>
      </c>
      <c r="F19" s="3">
        <f>Table3[[#This Row],[Total Hours Nurse Staffing]]/Table3[[#This Row],[MDS Census]]</f>
        <v>4.3068105795410352</v>
      </c>
      <c r="G19" s="3">
        <f>Table3[[#This Row],[Total Direct Care Staff Hours]]/Table3[[#This Row],[MDS Census]]</f>
        <v>3.932845196421626</v>
      </c>
      <c r="H19" s="3">
        <f>Table3[[#This Row],[Total RN Hours (w/ Admin, DON)]]/Table3[[#This Row],[MDS Census]]</f>
        <v>0.59578374173473359</v>
      </c>
      <c r="I19" s="3">
        <f>Table3[[#This Row],[RN Hours (excl. Admin, DON)]]/Table3[[#This Row],[MDS Census]]</f>
        <v>0.22337417347335667</v>
      </c>
      <c r="J19" s="3">
        <f t="shared" si="0"/>
        <v>246.06244444444445</v>
      </c>
      <c r="K19" s="3">
        <f>SUM(Table3[[#This Row],[RN Hours (excl. Admin, DON)]], Table3[[#This Row],[LPN Hours (excl. Admin)]], Table3[[#This Row],[CNA Hours]], Table3[[#This Row],[NA TR Hours]], Table3[[#This Row],[Med Aide/Tech Hours]])</f>
        <v>224.69655555555556</v>
      </c>
      <c r="L19" s="3">
        <f>SUM(Table3[[#This Row],[RN Hours (excl. Admin, DON)]:[RN DON Hours]])</f>
        <v>34.039111111111112</v>
      </c>
      <c r="M19" s="3">
        <v>12.762111111111111</v>
      </c>
      <c r="N19" s="3">
        <v>15.838111111111115</v>
      </c>
      <c r="O19" s="3">
        <v>5.4388888888888891</v>
      </c>
      <c r="P19" s="3">
        <f>SUM(Table3[[#This Row],[LPN Hours (excl. Admin)]:[LPN Admin Hours]])</f>
        <v>37.560111111111112</v>
      </c>
      <c r="Q19" s="3">
        <v>37.471222222222224</v>
      </c>
      <c r="R19" s="3">
        <v>8.8888888888888892E-2</v>
      </c>
      <c r="S19" s="3">
        <f>SUM(Table3[[#This Row],[CNA Hours]], Table3[[#This Row],[NA TR Hours]], Table3[[#This Row],[Med Aide/Tech Hours]])</f>
        <v>174.46322222222224</v>
      </c>
      <c r="T19" s="3">
        <v>136.96344444444443</v>
      </c>
      <c r="U19" s="3">
        <v>22.103111111111122</v>
      </c>
      <c r="V19" s="3">
        <v>15.39666666666667</v>
      </c>
      <c r="W19" s="3">
        <f>SUM(Table3[[#This Row],[RN Hours Contract]:[Med Aide Hours Contract]])</f>
        <v>0</v>
      </c>
      <c r="X19" s="3">
        <v>0</v>
      </c>
      <c r="Y19" s="3">
        <v>0</v>
      </c>
      <c r="Z19" s="3">
        <v>0</v>
      </c>
      <c r="AA19" s="3">
        <v>0</v>
      </c>
      <c r="AB19" s="3">
        <v>0</v>
      </c>
      <c r="AC19" s="3">
        <v>0</v>
      </c>
      <c r="AD19" s="3">
        <v>0</v>
      </c>
      <c r="AE19" s="3">
        <v>0</v>
      </c>
      <c r="AF19" t="s">
        <v>17</v>
      </c>
      <c r="AG19" s="13">
        <v>10</v>
      </c>
      <c r="AQ19"/>
    </row>
    <row r="20" spans="1:43" x14ac:dyDescent="0.2">
      <c r="A20" t="s">
        <v>128</v>
      </c>
      <c r="B20" t="s">
        <v>147</v>
      </c>
      <c r="C20" t="s">
        <v>263</v>
      </c>
      <c r="D20" t="s">
        <v>334</v>
      </c>
      <c r="E20" s="3">
        <v>87.288888888888891</v>
      </c>
      <c r="F20" s="3">
        <f>Table3[[#This Row],[Total Hours Nurse Staffing]]/Table3[[#This Row],[MDS Census]]</f>
        <v>5.1426298370672097</v>
      </c>
      <c r="G20" s="3">
        <f>Table3[[#This Row],[Total Direct Care Staff Hours]]/Table3[[#This Row],[MDS Census]]</f>
        <v>4.9667769857433806</v>
      </c>
      <c r="H20" s="3">
        <f>Table3[[#This Row],[Total RN Hours (w/ Admin, DON)]]/Table3[[#This Row],[MDS Census]]</f>
        <v>1.1708566700610996</v>
      </c>
      <c r="I20" s="3">
        <f>Table3[[#This Row],[RN Hours (excl. Admin, DON)]]/Table3[[#This Row],[MDS Census]]</f>
        <v>1.0477342158859468</v>
      </c>
      <c r="J20" s="3">
        <f t="shared" si="0"/>
        <v>448.89444444444445</v>
      </c>
      <c r="K20" s="3">
        <f>SUM(Table3[[#This Row],[RN Hours (excl. Admin, DON)]], Table3[[#This Row],[LPN Hours (excl. Admin)]], Table3[[#This Row],[CNA Hours]], Table3[[#This Row],[NA TR Hours]], Table3[[#This Row],[Med Aide/Tech Hours]])</f>
        <v>433.54444444444442</v>
      </c>
      <c r="L20" s="3">
        <f>SUM(Table3[[#This Row],[RN Hours (excl. Admin, DON)]:[RN DON Hours]])</f>
        <v>102.20277777777777</v>
      </c>
      <c r="M20" s="3">
        <v>91.455555555555549</v>
      </c>
      <c r="N20" s="3">
        <v>5.3250000000000002</v>
      </c>
      <c r="O20" s="3">
        <v>5.4222222222222225</v>
      </c>
      <c r="P20" s="3">
        <f>SUM(Table3[[#This Row],[LPN Hours (excl. Admin)]:[LPN Admin Hours]])</f>
        <v>58.583333333333329</v>
      </c>
      <c r="Q20" s="3">
        <v>53.980555555555554</v>
      </c>
      <c r="R20" s="3">
        <v>4.6027777777777779</v>
      </c>
      <c r="S20" s="3">
        <f>SUM(Table3[[#This Row],[CNA Hours]], Table3[[#This Row],[NA TR Hours]], Table3[[#This Row],[Med Aide/Tech Hours]])</f>
        <v>288.10833333333335</v>
      </c>
      <c r="T20" s="3">
        <v>222.80833333333334</v>
      </c>
      <c r="U20" s="3">
        <v>35.125</v>
      </c>
      <c r="V20" s="3">
        <v>30.175000000000001</v>
      </c>
      <c r="W20" s="3">
        <f>SUM(Table3[[#This Row],[RN Hours Contract]:[Med Aide Hours Contract]])</f>
        <v>15.43611111111111</v>
      </c>
      <c r="X20" s="3">
        <v>0</v>
      </c>
      <c r="Y20" s="3">
        <v>0</v>
      </c>
      <c r="Z20" s="3">
        <v>0</v>
      </c>
      <c r="AA20" s="3">
        <v>2.1444444444444444</v>
      </c>
      <c r="AB20" s="3">
        <v>0</v>
      </c>
      <c r="AC20" s="3">
        <v>13.291666666666666</v>
      </c>
      <c r="AD20" s="3">
        <v>0</v>
      </c>
      <c r="AE20" s="3">
        <v>0</v>
      </c>
      <c r="AF20" t="s">
        <v>18</v>
      </c>
      <c r="AG20" s="13">
        <v>10</v>
      </c>
      <c r="AQ20"/>
    </row>
    <row r="21" spans="1:43" x14ac:dyDescent="0.2">
      <c r="A21" t="s">
        <v>128</v>
      </c>
      <c r="B21" t="s">
        <v>148</v>
      </c>
      <c r="C21" t="s">
        <v>274</v>
      </c>
      <c r="D21" t="s">
        <v>329</v>
      </c>
      <c r="E21" s="3">
        <v>20.422222222222221</v>
      </c>
      <c r="F21" s="3">
        <f>Table3[[#This Row],[Total Hours Nurse Staffing]]/Table3[[#This Row],[MDS Census]]</f>
        <v>4.923966267682264</v>
      </c>
      <c r="G21" s="3">
        <f>Table3[[#This Row],[Total Direct Care Staff Hours]]/Table3[[#This Row],[MDS Census]]</f>
        <v>4.0599836779107727</v>
      </c>
      <c r="H21" s="3">
        <f>Table3[[#This Row],[Total RN Hours (w/ Admin, DON)]]/Table3[[#This Row],[MDS Census]]</f>
        <v>1.8684711643090317</v>
      </c>
      <c r="I21" s="3">
        <f>Table3[[#This Row],[RN Hours (excl. Admin, DON)]]/Table3[[#This Row],[MDS Census]]</f>
        <v>1.2325897714907508</v>
      </c>
      <c r="J21" s="3">
        <f t="shared" si="0"/>
        <v>100.55833333333334</v>
      </c>
      <c r="K21" s="3">
        <f>SUM(Table3[[#This Row],[RN Hours (excl. Admin, DON)]], Table3[[#This Row],[LPN Hours (excl. Admin)]], Table3[[#This Row],[CNA Hours]], Table3[[#This Row],[NA TR Hours]], Table3[[#This Row],[Med Aide/Tech Hours]])</f>
        <v>82.913888888888891</v>
      </c>
      <c r="L21" s="3">
        <f>SUM(Table3[[#This Row],[RN Hours (excl. Admin, DON)]:[RN DON Hours]])</f>
        <v>38.158333333333331</v>
      </c>
      <c r="M21" s="3">
        <v>25.172222222222221</v>
      </c>
      <c r="N21" s="3">
        <v>7.2333333333333334</v>
      </c>
      <c r="O21" s="3">
        <v>5.7527777777777782</v>
      </c>
      <c r="P21" s="3">
        <f>SUM(Table3[[#This Row],[LPN Hours (excl. Admin)]:[LPN Admin Hours]])</f>
        <v>4.6583333333333332</v>
      </c>
      <c r="Q21" s="3">
        <v>0</v>
      </c>
      <c r="R21" s="3">
        <v>4.6583333333333332</v>
      </c>
      <c r="S21" s="3">
        <f>SUM(Table3[[#This Row],[CNA Hours]], Table3[[#This Row],[NA TR Hours]], Table3[[#This Row],[Med Aide/Tech Hours]])</f>
        <v>57.741666666666667</v>
      </c>
      <c r="T21" s="3">
        <v>57.741666666666667</v>
      </c>
      <c r="U21" s="3">
        <v>0</v>
      </c>
      <c r="V21" s="3">
        <v>0</v>
      </c>
      <c r="W21" s="3">
        <f>SUM(Table3[[#This Row],[RN Hours Contract]:[Med Aide Hours Contract]])</f>
        <v>24.905555555555555</v>
      </c>
      <c r="X21" s="3">
        <v>9.5416666666666661</v>
      </c>
      <c r="Y21" s="3">
        <v>0</v>
      </c>
      <c r="Z21" s="3">
        <v>0</v>
      </c>
      <c r="AA21" s="3">
        <v>0</v>
      </c>
      <c r="AB21" s="3">
        <v>0</v>
      </c>
      <c r="AC21" s="3">
        <v>15.363888888888889</v>
      </c>
      <c r="AD21" s="3">
        <v>0</v>
      </c>
      <c r="AE21" s="3">
        <v>0</v>
      </c>
      <c r="AF21" t="s">
        <v>19</v>
      </c>
      <c r="AG21" s="13">
        <v>10</v>
      </c>
      <c r="AQ21"/>
    </row>
    <row r="22" spans="1:43" x14ac:dyDescent="0.2">
      <c r="A22" t="s">
        <v>128</v>
      </c>
      <c r="B22" t="s">
        <v>149</v>
      </c>
      <c r="C22" t="s">
        <v>272</v>
      </c>
      <c r="D22" t="s">
        <v>322</v>
      </c>
      <c r="E22" s="3">
        <v>44.966666666666669</v>
      </c>
      <c r="F22" s="3">
        <f>Table3[[#This Row],[Total Hours Nurse Staffing]]/Table3[[#This Row],[MDS Census]]</f>
        <v>4.9588905361996538</v>
      </c>
      <c r="G22" s="3">
        <f>Table3[[#This Row],[Total Direct Care Staff Hours]]/Table3[[#This Row],[MDS Census]]</f>
        <v>4.3852582159624411</v>
      </c>
      <c r="H22" s="3">
        <f>Table3[[#This Row],[Total RN Hours (w/ Admin, DON)]]/Table3[[#This Row],[MDS Census]]</f>
        <v>0.73226587595749937</v>
      </c>
      <c r="I22" s="3">
        <f>Table3[[#This Row],[RN Hours (excl. Admin, DON)]]/Table3[[#This Row],[MDS Census]]</f>
        <v>0.28111440573264146</v>
      </c>
      <c r="J22" s="3">
        <f t="shared" si="0"/>
        <v>222.98477777777779</v>
      </c>
      <c r="K22" s="3">
        <f>SUM(Table3[[#This Row],[RN Hours (excl. Admin, DON)]], Table3[[#This Row],[LPN Hours (excl. Admin)]], Table3[[#This Row],[CNA Hours]], Table3[[#This Row],[NA TR Hours]], Table3[[#This Row],[Med Aide/Tech Hours]])</f>
        <v>197.19044444444444</v>
      </c>
      <c r="L22" s="3">
        <f>SUM(Table3[[#This Row],[RN Hours (excl. Admin, DON)]:[RN DON Hours]])</f>
        <v>32.927555555555557</v>
      </c>
      <c r="M22" s="3">
        <v>12.640777777777778</v>
      </c>
      <c r="N22" s="3">
        <v>15.753444444444444</v>
      </c>
      <c r="O22" s="3">
        <v>4.5333333333333332</v>
      </c>
      <c r="P22" s="3">
        <f>SUM(Table3[[#This Row],[LPN Hours (excl. Admin)]:[LPN Admin Hours]])</f>
        <v>66.443666666666672</v>
      </c>
      <c r="Q22" s="3">
        <v>60.93611111111111</v>
      </c>
      <c r="R22" s="3">
        <v>5.5075555555555553</v>
      </c>
      <c r="S22" s="3">
        <f>SUM(Table3[[#This Row],[CNA Hours]], Table3[[#This Row],[NA TR Hours]], Table3[[#This Row],[Med Aide/Tech Hours]])</f>
        <v>123.61355555555556</v>
      </c>
      <c r="T22" s="3">
        <v>100.49644444444445</v>
      </c>
      <c r="U22" s="3">
        <v>20.098666666666666</v>
      </c>
      <c r="V22" s="3">
        <v>3.018444444444444</v>
      </c>
      <c r="W22" s="3">
        <f>SUM(Table3[[#This Row],[RN Hours Contract]:[Med Aide Hours Contract]])</f>
        <v>0.84444444444444433</v>
      </c>
      <c r="X22" s="3">
        <v>0</v>
      </c>
      <c r="Y22" s="3">
        <v>0</v>
      </c>
      <c r="Z22" s="3">
        <v>0</v>
      </c>
      <c r="AA22" s="3">
        <v>0.33055555555555555</v>
      </c>
      <c r="AB22" s="3">
        <v>0</v>
      </c>
      <c r="AC22" s="3">
        <v>0.51388888888888884</v>
      </c>
      <c r="AD22" s="3">
        <v>0</v>
      </c>
      <c r="AE22" s="3">
        <v>0</v>
      </c>
      <c r="AF22" t="s">
        <v>20</v>
      </c>
      <c r="AG22" s="13">
        <v>10</v>
      </c>
      <c r="AQ22"/>
    </row>
    <row r="23" spans="1:43" x14ac:dyDescent="0.2">
      <c r="A23" t="s">
        <v>128</v>
      </c>
      <c r="B23" t="s">
        <v>150</v>
      </c>
      <c r="C23" t="s">
        <v>281</v>
      </c>
      <c r="D23" t="s">
        <v>335</v>
      </c>
      <c r="E23" s="3">
        <v>54.833333333333336</v>
      </c>
      <c r="F23" s="3">
        <f>Table3[[#This Row],[Total Hours Nurse Staffing]]/Table3[[#This Row],[MDS Census]]</f>
        <v>4.4806160081053692</v>
      </c>
      <c r="G23" s="3">
        <f>Table3[[#This Row],[Total Direct Care Staff Hours]]/Table3[[#This Row],[MDS Census]]</f>
        <v>4.1050496453900704</v>
      </c>
      <c r="H23" s="3">
        <f>Table3[[#This Row],[Total RN Hours (w/ Admin, DON)]]/Table3[[#This Row],[MDS Census]]</f>
        <v>0.47098480243161095</v>
      </c>
      <c r="I23" s="3">
        <f>Table3[[#This Row],[RN Hours (excl. Admin, DON)]]/Table3[[#This Row],[MDS Census]]</f>
        <v>0.29646808510638295</v>
      </c>
      <c r="J23" s="3">
        <f t="shared" si="0"/>
        <v>245.68711111111111</v>
      </c>
      <c r="K23" s="3">
        <f>SUM(Table3[[#This Row],[RN Hours (excl. Admin, DON)]], Table3[[#This Row],[LPN Hours (excl. Admin)]], Table3[[#This Row],[CNA Hours]], Table3[[#This Row],[NA TR Hours]], Table3[[#This Row],[Med Aide/Tech Hours]])</f>
        <v>225.09355555555555</v>
      </c>
      <c r="L23" s="3">
        <f>SUM(Table3[[#This Row],[RN Hours (excl. Admin, DON)]:[RN DON Hours]])</f>
        <v>25.825666666666667</v>
      </c>
      <c r="M23" s="3">
        <v>16.256333333333334</v>
      </c>
      <c r="N23" s="3">
        <v>4.6804444444444435</v>
      </c>
      <c r="O23" s="3">
        <v>4.8888888888888893</v>
      </c>
      <c r="P23" s="3">
        <f>SUM(Table3[[#This Row],[LPN Hours (excl. Admin)]:[LPN Admin Hours]])</f>
        <v>77.776888888888891</v>
      </c>
      <c r="Q23" s="3">
        <v>66.75266666666667</v>
      </c>
      <c r="R23" s="3">
        <v>11.024222222222221</v>
      </c>
      <c r="S23" s="3">
        <f>SUM(Table3[[#This Row],[CNA Hours]], Table3[[#This Row],[NA TR Hours]], Table3[[#This Row],[Med Aide/Tech Hours]])</f>
        <v>142.08455555555554</v>
      </c>
      <c r="T23" s="3">
        <v>135.36677777777777</v>
      </c>
      <c r="U23" s="3">
        <v>1.6479999999999999</v>
      </c>
      <c r="V23" s="3">
        <v>5.0697777777777784</v>
      </c>
      <c r="W23" s="3">
        <f>SUM(Table3[[#This Row],[RN Hours Contract]:[Med Aide Hours Contract]])</f>
        <v>18.042999999999999</v>
      </c>
      <c r="X23" s="3">
        <v>0</v>
      </c>
      <c r="Y23" s="3">
        <v>0</v>
      </c>
      <c r="Z23" s="3">
        <v>0</v>
      </c>
      <c r="AA23" s="3">
        <v>0</v>
      </c>
      <c r="AB23" s="3">
        <v>0</v>
      </c>
      <c r="AC23" s="3">
        <v>18.042999999999999</v>
      </c>
      <c r="AD23" s="3">
        <v>0</v>
      </c>
      <c r="AE23" s="3">
        <v>0</v>
      </c>
      <c r="AF23" t="s">
        <v>21</v>
      </c>
      <c r="AG23" s="13">
        <v>10</v>
      </c>
      <c r="AQ23"/>
    </row>
    <row r="24" spans="1:43" x14ac:dyDescent="0.2">
      <c r="A24" t="s">
        <v>128</v>
      </c>
      <c r="B24" t="s">
        <v>151</v>
      </c>
      <c r="C24" t="s">
        <v>263</v>
      </c>
      <c r="D24" t="s">
        <v>334</v>
      </c>
      <c r="E24" s="3">
        <v>66.222222222222229</v>
      </c>
      <c r="F24" s="3">
        <f>Table3[[#This Row],[Total Hours Nurse Staffing]]/Table3[[#This Row],[MDS Census]]</f>
        <v>6.8229513422818791</v>
      </c>
      <c r="G24" s="3">
        <f>Table3[[#This Row],[Total Direct Care Staff Hours]]/Table3[[#This Row],[MDS Census]]</f>
        <v>6.2773674496644292</v>
      </c>
      <c r="H24" s="3">
        <f>Table3[[#This Row],[Total RN Hours (w/ Admin, DON)]]/Table3[[#This Row],[MDS Census]]</f>
        <v>0.58363422818791943</v>
      </c>
      <c r="I24" s="3">
        <f>Table3[[#This Row],[RN Hours (excl. Admin, DON)]]/Table3[[#This Row],[MDS Census]]</f>
        <v>0.40856208053691273</v>
      </c>
      <c r="J24" s="3">
        <f t="shared" si="0"/>
        <v>451.83100000000002</v>
      </c>
      <c r="K24" s="3">
        <f>SUM(Table3[[#This Row],[RN Hours (excl. Admin, DON)]], Table3[[#This Row],[LPN Hours (excl. Admin)]], Table3[[#This Row],[CNA Hours]], Table3[[#This Row],[NA TR Hours]], Table3[[#This Row],[Med Aide/Tech Hours]])</f>
        <v>415.70122222222221</v>
      </c>
      <c r="L24" s="3">
        <f>SUM(Table3[[#This Row],[RN Hours (excl. Admin, DON)]:[RN DON Hours]])</f>
        <v>38.649555555555558</v>
      </c>
      <c r="M24" s="3">
        <v>27.055888888888891</v>
      </c>
      <c r="N24" s="3">
        <v>6.3472222222222223</v>
      </c>
      <c r="O24" s="3">
        <v>5.2464444444444442</v>
      </c>
      <c r="P24" s="3">
        <f>SUM(Table3[[#This Row],[LPN Hours (excl. Admin)]:[LPN Admin Hours]])</f>
        <v>130.73333333333335</v>
      </c>
      <c r="Q24" s="3">
        <v>106.19722222222222</v>
      </c>
      <c r="R24" s="3">
        <v>24.536111111111111</v>
      </c>
      <c r="S24" s="3">
        <f>SUM(Table3[[#This Row],[CNA Hours]], Table3[[#This Row],[NA TR Hours]], Table3[[#This Row],[Med Aide/Tech Hours]])</f>
        <v>282.44811111111107</v>
      </c>
      <c r="T24" s="3">
        <v>251.54233333333335</v>
      </c>
      <c r="U24" s="3">
        <v>15.558333333333334</v>
      </c>
      <c r="V24" s="3">
        <v>15.347444444444445</v>
      </c>
      <c r="W24" s="3">
        <f>SUM(Table3[[#This Row],[RN Hours Contract]:[Med Aide Hours Contract]])</f>
        <v>5.3166666666666664</v>
      </c>
      <c r="X24" s="3">
        <v>0.35</v>
      </c>
      <c r="Y24" s="3">
        <v>0</v>
      </c>
      <c r="Z24" s="3">
        <v>0</v>
      </c>
      <c r="AA24" s="3">
        <v>2.5694444444444446</v>
      </c>
      <c r="AB24" s="3">
        <v>0</v>
      </c>
      <c r="AC24" s="3">
        <v>2.3972222222222221</v>
      </c>
      <c r="AD24" s="3">
        <v>0</v>
      </c>
      <c r="AE24" s="3">
        <v>0</v>
      </c>
      <c r="AF24" t="s">
        <v>22</v>
      </c>
      <c r="AG24" s="13">
        <v>10</v>
      </c>
      <c r="AQ24"/>
    </row>
    <row r="25" spans="1:43" x14ac:dyDescent="0.2">
      <c r="A25" t="s">
        <v>128</v>
      </c>
      <c r="B25" t="s">
        <v>152</v>
      </c>
      <c r="C25" t="s">
        <v>286</v>
      </c>
      <c r="D25" t="s">
        <v>339</v>
      </c>
      <c r="E25" s="3">
        <v>53.288888888888891</v>
      </c>
      <c r="F25" s="3">
        <f>Table3[[#This Row],[Total Hours Nurse Staffing]]/Table3[[#This Row],[MDS Census]]</f>
        <v>3.9734674728940784</v>
      </c>
      <c r="G25" s="3">
        <f>Table3[[#This Row],[Total Direct Care Staff Hours]]/Table3[[#This Row],[MDS Census]]</f>
        <v>3.7649603836530443</v>
      </c>
      <c r="H25" s="3">
        <f>Table3[[#This Row],[Total RN Hours (w/ Admin, DON)]]/Table3[[#This Row],[MDS Census]]</f>
        <v>0.67905546288573804</v>
      </c>
      <c r="I25" s="3">
        <f>Table3[[#This Row],[RN Hours (excl. Admin, DON)]]/Table3[[#This Row],[MDS Census]]</f>
        <v>0.47054837364470387</v>
      </c>
      <c r="J25" s="3">
        <f t="shared" si="0"/>
        <v>211.74166666666667</v>
      </c>
      <c r="K25" s="3">
        <f>SUM(Table3[[#This Row],[RN Hours (excl. Admin, DON)]], Table3[[#This Row],[LPN Hours (excl. Admin)]], Table3[[#This Row],[CNA Hours]], Table3[[#This Row],[NA TR Hours]], Table3[[#This Row],[Med Aide/Tech Hours]])</f>
        <v>200.63055555555556</v>
      </c>
      <c r="L25" s="3">
        <f>SUM(Table3[[#This Row],[RN Hours (excl. Admin, DON)]:[RN DON Hours]])</f>
        <v>36.18611111111111</v>
      </c>
      <c r="M25" s="3">
        <v>25.074999999999999</v>
      </c>
      <c r="N25" s="3">
        <v>5.6</v>
      </c>
      <c r="O25" s="3">
        <v>5.5111111111111111</v>
      </c>
      <c r="P25" s="3">
        <f>SUM(Table3[[#This Row],[LPN Hours (excl. Admin)]:[LPN Admin Hours]])</f>
        <v>54.352777777777774</v>
      </c>
      <c r="Q25" s="3">
        <v>54.352777777777774</v>
      </c>
      <c r="R25" s="3">
        <v>0</v>
      </c>
      <c r="S25" s="3">
        <f>SUM(Table3[[#This Row],[CNA Hours]], Table3[[#This Row],[NA TR Hours]], Table3[[#This Row],[Med Aide/Tech Hours]])</f>
        <v>121.20277777777778</v>
      </c>
      <c r="T25" s="3">
        <v>107.38055555555556</v>
      </c>
      <c r="U25" s="3">
        <v>0</v>
      </c>
      <c r="V25" s="3">
        <v>13.822222222222223</v>
      </c>
      <c r="W25" s="3">
        <f>SUM(Table3[[#This Row],[RN Hours Contract]:[Med Aide Hours Contract]])</f>
        <v>5.4611111111111112</v>
      </c>
      <c r="X25" s="3">
        <v>0</v>
      </c>
      <c r="Y25" s="3">
        <v>0</v>
      </c>
      <c r="Z25" s="3">
        <v>0</v>
      </c>
      <c r="AA25" s="3">
        <v>0</v>
      </c>
      <c r="AB25" s="3">
        <v>0</v>
      </c>
      <c r="AC25" s="3">
        <v>5.4611111111111112</v>
      </c>
      <c r="AD25" s="3">
        <v>0</v>
      </c>
      <c r="AE25" s="3">
        <v>0</v>
      </c>
      <c r="AF25" t="s">
        <v>23</v>
      </c>
      <c r="AG25" s="13">
        <v>10</v>
      </c>
      <c r="AQ25"/>
    </row>
    <row r="26" spans="1:43" x14ac:dyDescent="0.2">
      <c r="A26" t="s">
        <v>128</v>
      </c>
      <c r="B26" t="s">
        <v>153</v>
      </c>
      <c r="C26" t="s">
        <v>273</v>
      </c>
      <c r="D26" t="s">
        <v>319</v>
      </c>
      <c r="E26" s="3">
        <v>80.466666666666669</v>
      </c>
      <c r="F26" s="3">
        <f>Table3[[#This Row],[Total Hours Nurse Staffing]]/Table3[[#This Row],[MDS Census]]</f>
        <v>4.7697804473902243</v>
      </c>
      <c r="G26" s="3">
        <f>Table3[[#This Row],[Total Direct Care Staff Hours]]/Table3[[#This Row],[MDS Census]]</f>
        <v>4.5687310135321741</v>
      </c>
      <c r="H26" s="3">
        <f>Table3[[#This Row],[Total RN Hours (w/ Admin, DON)]]/Table3[[#This Row],[MDS Census]]</f>
        <v>0.72621513394090031</v>
      </c>
      <c r="I26" s="3">
        <f>Table3[[#This Row],[RN Hours (excl. Admin, DON)]]/Table3[[#This Row],[MDS Census]]</f>
        <v>0.52516570008285002</v>
      </c>
      <c r="J26" s="3">
        <f t="shared" si="0"/>
        <v>383.80833333333339</v>
      </c>
      <c r="K26" s="3">
        <f>SUM(Table3[[#This Row],[RN Hours (excl. Admin, DON)]], Table3[[#This Row],[LPN Hours (excl. Admin)]], Table3[[#This Row],[CNA Hours]], Table3[[#This Row],[NA TR Hours]], Table3[[#This Row],[Med Aide/Tech Hours]])</f>
        <v>367.63055555555559</v>
      </c>
      <c r="L26" s="3">
        <f>SUM(Table3[[#This Row],[RN Hours (excl. Admin, DON)]:[RN DON Hours]])</f>
        <v>58.43611111111111</v>
      </c>
      <c r="M26" s="3">
        <v>42.258333333333333</v>
      </c>
      <c r="N26" s="3">
        <v>10.577777777777778</v>
      </c>
      <c r="O26" s="3">
        <v>5.6</v>
      </c>
      <c r="P26" s="3">
        <f>SUM(Table3[[#This Row],[LPN Hours (excl. Admin)]:[LPN Admin Hours]])</f>
        <v>55.088888888888889</v>
      </c>
      <c r="Q26" s="3">
        <v>55.088888888888889</v>
      </c>
      <c r="R26" s="3">
        <v>0</v>
      </c>
      <c r="S26" s="3">
        <f>SUM(Table3[[#This Row],[CNA Hours]], Table3[[#This Row],[NA TR Hours]], Table3[[#This Row],[Med Aide/Tech Hours]])</f>
        <v>270.28333333333336</v>
      </c>
      <c r="T26" s="3">
        <v>195.0888888888889</v>
      </c>
      <c r="U26" s="3">
        <v>32.638888888888886</v>
      </c>
      <c r="V26" s="3">
        <v>42.555555555555557</v>
      </c>
      <c r="W26" s="3">
        <f>SUM(Table3[[#This Row],[RN Hours Contract]:[Med Aide Hours Contract]])</f>
        <v>16.833333333333336</v>
      </c>
      <c r="X26" s="3">
        <v>9.3305555555555557</v>
      </c>
      <c r="Y26" s="3">
        <v>0</v>
      </c>
      <c r="Z26" s="3">
        <v>0</v>
      </c>
      <c r="AA26" s="3">
        <v>0</v>
      </c>
      <c r="AB26" s="3">
        <v>0</v>
      </c>
      <c r="AC26" s="3">
        <v>7.5027777777777782</v>
      </c>
      <c r="AD26" s="3">
        <v>0</v>
      </c>
      <c r="AE26" s="3">
        <v>0</v>
      </c>
      <c r="AF26" t="s">
        <v>24</v>
      </c>
      <c r="AG26" s="13">
        <v>10</v>
      </c>
      <c r="AQ26"/>
    </row>
    <row r="27" spans="1:43" x14ac:dyDescent="0.2">
      <c r="A27" t="s">
        <v>128</v>
      </c>
      <c r="B27" t="s">
        <v>154</v>
      </c>
      <c r="C27" t="s">
        <v>287</v>
      </c>
      <c r="D27" t="s">
        <v>321</v>
      </c>
      <c r="E27" s="3">
        <v>67.088888888888889</v>
      </c>
      <c r="F27" s="3">
        <f>Table3[[#This Row],[Total Hours Nurse Staffing]]/Table3[[#This Row],[MDS Census]]</f>
        <v>4.3887048691619741</v>
      </c>
      <c r="G27" s="3">
        <f>Table3[[#This Row],[Total Direct Care Staff Hours]]/Table3[[#This Row],[MDS Census]]</f>
        <v>4.182717787346804</v>
      </c>
      <c r="H27" s="3">
        <f>Table3[[#This Row],[Total RN Hours (w/ Admin, DON)]]/Table3[[#This Row],[MDS Census]]</f>
        <v>0.6906674395495197</v>
      </c>
      <c r="I27" s="3">
        <f>Table3[[#This Row],[RN Hours (excl. Admin, DON)]]/Table3[[#This Row],[MDS Census]]</f>
        <v>0.51329082477641597</v>
      </c>
      <c r="J27" s="3">
        <f t="shared" si="0"/>
        <v>294.43333333333334</v>
      </c>
      <c r="K27" s="3">
        <f>SUM(Table3[[#This Row],[RN Hours (excl. Admin, DON)]], Table3[[#This Row],[LPN Hours (excl. Admin)]], Table3[[#This Row],[CNA Hours]], Table3[[#This Row],[NA TR Hours]], Table3[[#This Row],[Med Aide/Tech Hours]])</f>
        <v>280.61388888888894</v>
      </c>
      <c r="L27" s="3">
        <f>SUM(Table3[[#This Row],[RN Hours (excl. Admin, DON)]:[RN DON Hours]])</f>
        <v>46.336111111111109</v>
      </c>
      <c r="M27" s="3">
        <v>34.43611111111111</v>
      </c>
      <c r="N27" s="3">
        <v>5.3</v>
      </c>
      <c r="O27" s="3">
        <v>6.6</v>
      </c>
      <c r="P27" s="3">
        <f>SUM(Table3[[#This Row],[LPN Hours (excl. Admin)]:[LPN Admin Hours]])</f>
        <v>68.938888888888897</v>
      </c>
      <c r="Q27" s="3">
        <v>67.019444444444446</v>
      </c>
      <c r="R27" s="3">
        <v>1.9194444444444445</v>
      </c>
      <c r="S27" s="3">
        <f>SUM(Table3[[#This Row],[CNA Hours]], Table3[[#This Row],[NA TR Hours]], Table3[[#This Row],[Med Aide/Tech Hours]])</f>
        <v>179.15833333333333</v>
      </c>
      <c r="T27" s="3">
        <v>170.26666666666668</v>
      </c>
      <c r="U27" s="3">
        <v>1.6666666666666667</v>
      </c>
      <c r="V27" s="3">
        <v>7.2249999999999996</v>
      </c>
      <c r="W27" s="3">
        <f>SUM(Table3[[#This Row],[RN Hours Contract]:[Med Aide Hours Contract]])</f>
        <v>12</v>
      </c>
      <c r="X27" s="3">
        <v>0</v>
      </c>
      <c r="Y27" s="3">
        <v>0</v>
      </c>
      <c r="Z27" s="3">
        <v>0</v>
      </c>
      <c r="AA27" s="3">
        <v>0</v>
      </c>
      <c r="AB27" s="3">
        <v>0</v>
      </c>
      <c r="AC27" s="3">
        <v>12</v>
      </c>
      <c r="AD27" s="3">
        <v>0</v>
      </c>
      <c r="AE27" s="3">
        <v>0</v>
      </c>
      <c r="AF27" t="s">
        <v>25</v>
      </c>
      <c r="AG27" s="13">
        <v>10</v>
      </c>
      <c r="AQ27"/>
    </row>
    <row r="28" spans="1:43" x14ac:dyDescent="0.2">
      <c r="A28" t="s">
        <v>128</v>
      </c>
      <c r="B28" t="s">
        <v>155</v>
      </c>
      <c r="C28" t="s">
        <v>279</v>
      </c>
      <c r="D28" t="s">
        <v>334</v>
      </c>
      <c r="E28" s="3">
        <v>55.68888888888889</v>
      </c>
      <c r="F28" s="3">
        <f>Table3[[#This Row],[Total Hours Nurse Staffing]]/Table3[[#This Row],[MDS Census]]</f>
        <v>4.6891560255387068</v>
      </c>
      <c r="G28" s="3">
        <f>Table3[[#This Row],[Total Direct Care Staff Hours]]/Table3[[#This Row],[MDS Census]]</f>
        <v>4.5885973663208297</v>
      </c>
      <c r="H28" s="3">
        <f>Table3[[#This Row],[Total RN Hours (w/ Admin, DON)]]/Table3[[#This Row],[MDS Census]]</f>
        <v>0.82654628890662407</v>
      </c>
      <c r="I28" s="3">
        <f>Table3[[#This Row],[RN Hours (excl. Admin, DON)]]/Table3[[#This Row],[MDS Census]]</f>
        <v>0.72598762968874697</v>
      </c>
      <c r="J28" s="3">
        <f t="shared" si="0"/>
        <v>261.13388888888886</v>
      </c>
      <c r="K28" s="3">
        <f>SUM(Table3[[#This Row],[RN Hours (excl. Admin, DON)]], Table3[[#This Row],[LPN Hours (excl. Admin)]], Table3[[#This Row],[CNA Hours]], Table3[[#This Row],[NA TR Hours]], Table3[[#This Row],[Med Aide/Tech Hours]])</f>
        <v>255.53388888888887</v>
      </c>
      <c r="L28" s="3">
        <f>SUM(Table3[[#This Row],[RN Hours (excl. Admin, DON)]:[RN DON Hours]])</f>
        <v>46.029444444444444</v>
      </c>
      <c r="M28" s="3">
        <v>40.429444444444442</v>
      </c>
      <c r="N28" s="3">
        <v>0</v>
      </c>
      <c r="O28" s="3">
        <v>5.6</v>
      </c>
      <c r="P28" s="3">
        <f>SUM(Table3[[#This Row],[LPN Hours (excl. Admin)]:[LPN Admin Hours]])</f>
        <v>32.663555555555554</v>
      </c>
      <c r="Q28" s="3">
        <v>32.663555555555554</v>
      </c>
      <c r="R28" s="3">
        <v>0</v>
      </c>
      <c r="S28" s="3">
        <f>SUM(Table3[[#This Row],[CNA Hours]], Table3[[#This Row],[NA TR Hours]], Table3[[#This Row],[Med Aide/Tech Hours]])</f>
        <v>182.44088888888888</v>
      </c>
      <c r="T28" s="3">
        <v>150.92611111111111</v>
      </c>
      <c r="U28" s="3">
        <v>0</v>
      </c>
      <c r="V28" s="3">
        <v>31.514777777777763</v>
      </c>
      <c r="W28" s="3">
        <f>SUM(Table3[[#This Row],[RN Hours Contract]:[Med Aide Hours Contract]])</f>
        <v>0</v>
      </c>
      <c r="X28" s="3">
        <v>0</v>
      </c>
      <c r="Y28" s="3">
        <v>0</v>
      </c>
      <c r="Z28" s="3">
        <v>0</v>
      </c>
      <c r="AA28" s="3">
        <v>0</v>
      </c>
      <c r="AB28" s="3">
        <v>0</v>
      </c>
      <c r="AC28" s="3">
        <v>0</v>
      </c>
      <c r="AD28" s="3">
        <v>0</v>
      </c>
      <c r="AE28" s="3">
        <v>0</v>
      </c>
      <c r="AF28" t="s">
        <v>26</v>
      </c>
      <c r="AG28" s="13">
        <v>10</v>
      </c>
      <c r="AQ28"/>
    </row>
    <row r="29" spans="1:43" x14ac:dyDescent="0.2">
      <c r="A29" t="s">
        <v>128</v>
      </c>
      <c r="B29" t="s">
        <v>156</v>
      </c>
      <c r="C29" t="s">
        <v>263</v>
      </c>
      <c r="D29" t="s">
        <v>334</v>
      </c>
      <c r="E29" s="3">
        <v>60.211111111111109</v>
      </c>
      <c r="F29" s="3">
        <f>Table3[[#This Row],[Total Hours Nurse Staffing]]/Table3[[#This Row],[MDS Census]]</f>
        <v>4.6360767669311684</v>
      </c>
      <c r="G29" s="3">
        <f>Table3[[#This Row],[Total Direct Care Staff Hours]]/Table3[[#This Row],[MDS Census]]</f>
        <v>4.1421203174017354</v>
      </c>
      <c r="H29" s="3">
        <f>Table3[[#This Row],[Total RN Hours (w/ Admin, DON)]]/Table3[[#This Row],[MDS Census]]</f>
        <v>0.54970105185458573</v>
      </c>
      <c r="I29" s="3">
        <f>Table3[[#This Row],[RN Hours (excl. Admin, DON)]]/Table3[[#This Row],[MDS Census]]</f>
        <v>0.40253367780033217</v>
      </c>
      <c r="J29" s="3">
        <f t="shared" si="0"/>
        <v>279.14333333333332</v>
      </c>
      <c r="K29" s="3">
        <f>SUM(Table3[[#This Row],[RN Hours (excl. Admin, DON)]], Table3[[#This Row],[LPN Hours (excl. Admin)]], Table3[[#This Row],[CNA Hours]], Table3[[#This Row],[NA TR Hours]], Table3[[#This Row],[Med Aide/Tech Hours]])</f>
        <v>249.4016666666667</v>
      </c>
      <c r="L29" s="3">
        <f>SUM(Table3[[#This Row],[RN Hours (excl. Admin, DON)]:[RN DON Hours]])</f>
        <v>33.098111111111109</v>
      </c>
      <c r="M29" s="3">
        <v>24.236999999999998</v>
      </c>
      <c r="N29" s="3">
        <v>3.75</v>
      </c>
      <c r="O29" s="3">
        <v>5.1111111111111107</v>
      </c>
      <c r="P29" s="3">
        <f>SUM(Table3[[#This Row],[LPN Hours (excl. Admin)]:[LPN Admin Hours]])</f>
        <v>69.300666666666672</v>
      </c>
      <c r="Q29" s="3">
        <v>48.420111111111119</v>
      </c>
      <c r="R29" s="3">
        <v>20.880555555555556</v>
      </c>
      <c r="S29" s="3">
        <f>SUM(Table3[[#This Row],[CNA Hours]], Table3[[#This Row],[NA TR Hours]], Table3[[#This Row],[Med Aide/Tech Hours]])</f>
        <v>176.74455555555556</v>
      </c>
      <c r="T29" s="3">
        <v>146.58555555555557</v>
      </c>
      <c r="U29" s="3">
        <v>16.052555555555557</v>
      </c>
      <c r="V29" s="3">
        <v>14.106444444444449</v>
      </c>
      <c r="W29" s="3">
        <f>SUM(Table3[[#This Row],[RN Hours Contract]:[Med Aide Hours Contract]])</f>
        <v>0.74699999999999989</v>
      </c>
      <c r="X29" s="3">
        <v>0</v>
      </c>
      <c r="Y29" s="3">
        <v>0</v>
      </c>
      <c r="Z29" s="3">
        <v>0</v>
      </c>
      <c r="AA29" s="3">
        <v>0</v>
      </c>
      <c r="AB29" s="3">
        <v>0</v>
      </c>
      <c r="AC29" s="3">
        <v>0.74699999999999989</v>
      </c>
      <c r="AD29" s="3">
        <v>0</v>
      </c>
      <c r="AE29" s="3">
        <v>0</v>
      </c>
      <c r="AF29" t="s">
        <v>27</v>
      </c>
      <c r="AG29" s="13">
        <v>10</v>
      </c>
      <c r="AQ29"/>
    </row>
    <row r="30" spans="1:43" x14ac:dyDescent="0.2">
      <c r="A30" t="s">
        <v>128</v>
      </c>
      <c r="B30" t="s">
        <v>157</v>
      </c>
      <c r="C30" t="s">
        <v>288</v>
      </c>
      <c r="D30" t="s">
        <v>340</v>
      </c>
      <c r="E30" s="3">
        <v>67.666666666666671</v>
      </c>
      <c r="F30" s="3">
        <f>Table3[[#This Row],[Total Hours Nurse Staffing]]/Table3[[#This Row],[MDS Census]]</f>
        <v>4.963013136288998</v>
      </c>
      <c r="G30" s="3">
        <f>Table3[[#This Row],[Total Direct Care Staff Hours]]/Table3[[#This Row],[MDS Census]]</f>
        <v>4.5573070607553365</v>
      </c>
      <c r="H30" s="3">
        <f>Table3[[#This Row],[Total RN Hours (w/ Admin, DON)]]/Table3[[#This Row],[MDS Census]]</f>
        <v>0.83201970443349749</v>
      </c>
      <c r="I30" s="3">
        <f>Table3[[#This Row],[RN Hours (excl. Admin, DON)]]/Table3[[#This Row],[MDS Census]]</f>
        <v>0.42631362889983576</v>
      </c>
      <c r="J30" s="3">
        <f t="shared" si="0"/>
        <v>335.83055555555558</v>
      </c>
      <c r="K30" s="3">
        <f>SUM(Table3[[#This Row],[RN Hours (excl. Admin, DON)]], Table3[[#This Row],[LPN Hours (excl. Admin)]], Table3[[#This Row],[CNA Hours]], Table3[[#This Row],[NA TR Hours]], Table3[[#This Row],[Med Aide/Tech Hours]])</f>
        <v>308.37777777777779</v>
      </c>
      <c r="L30" s="3">
        <f>SUM(Table3[[#This Row],[RN Hours (excl. Admin, DON)]:[RN DON Hours]])</f>
        <v>56.3</v>
      </c>
      <c r="M30" s="3">
        <v>28.847222222222221</v>
      </c>
      <c r="N30" s="3">
        <v>21.719444444444445</v>
      </c>
      <c r="O30" s="3">
        <v>5.7333333333333334</v>
      </c>
      <c r="P30" s="3">
        <f>SUM(Table3[[#This Row],[LPN Hours (excl. Admin)]:[LPN Admin Hours]])</f>
        <v>71.025000000000006</v>
      </c>
      <c r="Q30" s="3">
        <v>71.025000000000006</v>
      </c>
      <c r="R30" s="3">
        <v>0</v>
      </c>
      <c r="S30" s="3">
        <f>SUM(Table3[[#This Row],[CNA Hours]], Table3[[#This Row],[NA TR Hours]], Table3[[#This Row],[Med Aide/Tech Hours]])</f>
        <v>208.50555555555556</v>
      </c>
      <c r="T30" s="3">
        <v>179.97499999999999</v>
      </c>
      <c r="U30" s="3">
        <v>0</v>
      </c>
      <c r="V30" s="3">
        <v>28.530555555555555</v>
      </c>
      <c r="W30" s="3">
        <f>SUM(Table3[[#This Row],[RN Hours Contract]:[Med Aide Hours Contract]])</f>
        <v>0</v>
      </c>
      <c r="X30" s="3">
        <v>0</v>
      </c>
      <c r="Y30" s="3">
        <v>0</v>
      </c>
      <c r="Z30" s="3">
        <v>0</v>
      </c>
      <c r="AA30" s="3">
        <v>0</v>
      </c>
      <c r="AB30" s="3">
        <v>0</v>
      </c>
      <c r="AC30" s="3">
        <v>0</v>
      </c>
      <c r="AD30" s="3">
        <v>0</v>
      </c>
      <c r="AE30" s="3">
        <v>0</v>
      </c>
      <c r="AF30" t="s">
        <v>28</v>
      </c>
      <c r="AG30" s="13">
        <v>10</v>
      </c>
      <c r="AQ30"/>
    </row>
    <row r="31" spans="1:43" x14ac:dyDescent="0.2">
      <c r="A31" t="s">
        <v>128</v>
      </c>
      <c r="B31" t="s">
        <v>158</v>
      </c>
      <c r="C31" t="s">
        <v>289</v>
      </c>
      <c r="D31" t="s">
        <v>341</v>
      </c>
      <c r="E31" s="3">
        <v>29.911111111111111</v>
      </c>
      <c r="F31" s="3">
        <f>Table3[[#This Row],[Total Hours Nurse Staffing]]/Table3[[#This Row],[MDS Census]]</f>
        <v>4.4729383358098067</v>
      </c>
      <c r="G31" s="3">
        <f>Table3[[#This Row],[Total Direct Care Staff Hours]]/Table3[[#This Row],[MDS Census]]</f>
        <v>4.0784658246656766</v>
      </c>
      <c r="H31" s="3">
        <f>Table3[[#This Row],[Total RN Hours (w/ Admin, DON)]]/Table3[[#This Row],[MDS Census]]</f>
        <v>1.1583952451708768</v>
      </c>
      <c r="I31" s="3">
        <f>Table3[[#This Row],[RN Hours (excl. Admin, DON)]]/Table3[[#This Row],[MDS Census]]</f>
        <v>1.0482317979197624</v>
      </c>
      <c r="J31" s="3">
        <f t="shared" si="0"/>
        <v>133.79055555555556</v>
      </c>
      <c r="K31" s="3">
        <f>SUM(Table3[[#This Row],[RN Hours (excl. Admin, DON)]], Table3[[#This Row],[LPN Hours (excl. Admin)]], Table3[[#This Row],[CNA Hours]], Table3[[#This Row],[NA TR Hours]], Table3[[#This Row],[Med Aide/Tech Hours]])</f>
        <v>121.99144444444445</v>
      </c>
      <c r="L31" s="3">
        <f>SUM(Table3[[#This Row],[RN Hours (excl. Admin, DON)]:[RN DON Hours]])</f>
        <v>34.648888888888891</v>
      </c>
      <c r="M31" s="3">
        <v>31.353777777777779</v>
      </c>
      <c r="N31" s="3">
        <v>0</v>
      </c>
      <c r="O31" s="3">
        <v>3.2951111111111118</v>
      </c>
      <c r="P31" s="3">
        <f>SUM(Table3[[#This Row],[LPN Hours (excl. Admin)]:[LPN Admin Hours]])</f>
        <v>21.74111111111111</v>
      </c>
      <c r="Q31" s="3">
        <v>13.23711111111111</v>
      </c>
      <c r="R31" s="3">
        <v>8.5040000000000013</v>
      </c>
      <c r="S31" s="3">
        <f>SUM(Table3[[#This Row],[CNA Hours]], Table3[[#This Row],[NA TR Hours]], Table3[[#This Row],[Med Aide/Tech Hours]])</f>
        <v>77.400555555555556</v>
      </c>
      <c r="T31" s="3">
        <v>77.400555555555556</v>
      </c>
      <c r="U31" s="3">
        <v>0</v>
      </c>
      <c r="V31" s="3">
        <v>0</v>
      </c>
      <c r="W31" s="3">
        <f>SUM(Table3[[#This Row],[RN Hours Contract]:[Med Aide Hours Contract]])</f>
        <v>5.7777777777777777</v>
      </c>
      <c r="X31" s="3">
        <v>0.30833333333333335</v>
      </c>
      <c r="Y31" s="3">
        <v>0</v>
      </c>
      <c r="Z31" s="3">
        <v>0</v>
      </c>
      <c r="AA31" s="3">
        <v>0</v>
      </c>
      <c r="AB31" s="3">
        <v>0</v>
      </c>
      <c r="AC31" s="3">
        <v>5.4694444444444441</v>
      </c>
      <c r="AD31" s="3">
        <v>0</v>
      </c>
      <c r="AE31" s="3">
        <v>0</v>
      </c>
      <c r="AF31" t="s">
        <v>29</v>
      </c>
      <c r="AG31" s="13">
        <v>10</v>
      </c>
      <c r="AQ31"/>
    </row>
    <row r="32" spans="1:43" x14ac:dyDescent="0.2">
      <c r="A32" t="s">
        <v>128</v>
      </c>
      <c r="B32" t="s">
        <v>159</v>
      </c>
      <c r="C32" t="s">
        <v>263</v>
      </c>
      <c r="D32" t="s">
        <v>334</v>
      </c>
      <c r="E32" s="3">
        <v>82.888888888888886</v>
      </c>
      <c r="F32" s="3">
        <f>Table3[[#This Row],[Total Hours Nurse Staffing]]/Table3[[#This Row],[MDS Census]]</f>
        <v>5.4332104557640752</v>
      </c>
      <c r="G32" s="3">
        <f>Table3[[#This Row],[Total Direct Care Staff Hours]]/Table3[[#This Row],[MDS Census]]</f>
        <v>4.9962131367292235</v>
      </c>
      <c r="H32" s="3">
        <f>Table3[[#This Row],[Total RN Hours (w/ Admin, DON)]]/Table3[[#This Row],[MDS Census]]</f>
        <v>1.8491957104557641</v>
      </c>
      <c r="I32" s="3">
        <f>Table3[[#This Row],[RN Hours (excl. Admin, DON)]]/Table3[[#This Row],[MDS Census]]</f>
        <v>1.4121983914209115</v>
      </c>
      <c r="J32" s="3">
        <f t="shared" si="0"/>
        <v>450.35277777777776</v>
      </c>
      <c r="K32" s="3">
        <f>SUM(Table3[[#This Row],[RN Hours (excl. Admin, DON)]], Table3[[#This Row],[LPN Hours (excl. Admin)]], Table3[[#This Row],[CNA Hours]], Table3[[#This Row],[NA TR Hours]], Table3[[#This Row],[Med Aide/Tech Hours]])</f>
        <v>414.13055555555559</v>
      </c>
      <c r="L32" s="3">
        <f>SUM(Table3[[#This Row],[RN Hours (excl. Admin, DON)]:[RN DON Hours]])</f>
        <v>153.27777777777777</v>
      </c>
      <c r="M32" s="3">
        <v>117.05555555555556</v>
      </c>
      <c r="N32" s="3">
        <v>30.622222222222224</v>
      </c>
      <c r="O32" s="3">
        <v>5.6</v>
      </c>
      <c r="P32" s="3">
        <f>SUM(Table3[[#This Row],[LPN Hours (excl. Admin)]:[LPN Admin Hours]])</f>
        <v>33.613888888888887</v>
      </c>
      <c r="Q32" s="3">
        <v>33.613888888888887</v>
      </c>
      <c r="R32" s="3">
        <v>0</v>
      </c>
      <c r="S32" s="3">
        <f>SUM(Table3[[#This Row],[CNA Hours]], Table3[[#This Row],[NA TR Hours]], Table3[[#This Row],[Med Aide/Tech Hours]])</f>
        <v>263.46111111111111</v>
      </c>
      <c r="T32" s="3">
        <v>212.875</v>
      </c>
      <c r="U32" s="3">
        <v>23.411111111111111</v>
      </c>
      <c r="V32" s="3">
        <v>27.175000000000001</v>
      </c>
      <c r="W32" s="3">
        <f>SUM(Table3[[#This Row],[RN Hours Contract]:[Med Aide Hours Contract]])</f>
        <v>2.9333333333333331</v>
      </c>
      <c r="X32" s="3">
        <v>0</v>
      </c>
      <c r="Y32" s="3">
        <v>0</v>
      </c>
      <c r="Z32" s="3">
        <v>0</v>
      </c>
      <c r="AA32" s="3">
        <v>0.18333333333333332</v>
      </c>
      <c r="AB32" s="3">
        <v>0</v>
      </c>
      <c r="AC32" s="3">
        <v>2.6666666666666665</v>
      </c>
      <c r="AD32" s="3">
        <v>8.3333333333333329E-2</v>
      </c>
      <c r="AE32" s="3">
        <v>0</v>
      </c>
      <c r="AF32" t="s">
        <v>30</v>
      </c>
      <c r="AG32" s="13">
        <v>10</v>
      </c>
      <c r="AQ32"/>
    </row>
    <row r="33" spans="1:43" x14ac:dyDescent="0.2">
      <c r="A33" t="s">
        <v>128</v>
      </c>
      <c r="B33" t="s">
        <v>160</v>
      </c>
      <c r="C33" t="s">
        <v>257</v>
      </c>
      <c r="D33" t="s">
        <v>335</v>
      </c>
      <c r="E33" s="3">
        <v>42.522222222222226</v>
      </c>
      <c r="F33" s="3">
        <f>Table3[[#This Row],[Total Hours Nurse Staffing]]/Table3[[#This Row],[MDS Census]]</f>
        <v>4.496529918996603</v>
      </c>
      <c r="G33" s="3">
        <f>Table3[[#This Row],[Total Direct Care Staff Hours]]/Table3[[#This Row],[MDS Census]]</f>
        <v>4.3360517376535146</v>
      </c>
      <c r="H33" s="3">
        <f>Table3[[#This Row],[Total RN Hours (w/ Admin, DON)]]/Table3[[#This Row],[MDS Census]]</f>
        <v>0.52274366344395096</v>
      </c>
      <c r="I33" s="3">
        <f>Table3[[#This Row],[RN Hours (excl. Admin, DON)]]/Table3[[#This Row],[MDS Census]]</f>
        <v>0.36226548210086229</v>
      </c>
      <c r="J33" s="3">
        <f t="shared" si="0"/>
        <v>191.20244444444447</v>
      </c>
      <c r="K33" s="3">
        <f>SUM(Table3[[#This Row],[RN Hours (excl. Admin, DON)]], Table3[[#This Row],[LPN Hours (excl. Admin)]], Table3[[#This Row],[CNA Hours]], Table3[[#This Row],[NA TR Hours]], Table3[[#This Row],[Med Aide/Tech Hours]])</f>
        <v>184.37855555555558</v>
      </c>
      <c r="L33" s="3">
        <f>SUM(Table3[[#This Row],[RN Hours (excl. Admin, DON)]:[RN DON Hours]])</f>
        <v>22.228222222222229</v>
      </c>
      <c r="M33" s="3">
        <v>15.404333333333334</v>
      </c>
      <c r="N33" s="3">
        <v>1.6675555555555555</v>
      </c>
      <c r="O33" s="3">
        <v>5.1563333333333379</v>
      </c>
      <c r="P33" s="3">
        <f>SUM(Table3[[#This Row],[LPN Hours (excl. Admin)]:[LPN Admin Hours]])</f>
        <v>32.832111111111111</v>
      </c>
      <c r="Q33" s="3">
        <v>32.832111111111111</v>
      </c>
      <c r="R33" s="3">
        <v>0</v>
      </c>
      <c r="S33" s="3">
        <f>SUM(Table3[[#This Row],[CNA Hours]], Table3[[#This Row],[NA TR Hours]], Table3[[#This Row],[Med Aide/Tech Hours]])</f>
        <v>136.14211111111112</v>
      </c>
      <c r="T33" s="3">
        <v>124.1568888888889</v>
      </c>
      <c r="U33" s="3">
        <v>0</v>
      </c>
      <c r="V33" s="3">
        <v>11.985222222222223</v>
      </c>
      <c r="W33" s="3">
        <f>SUM(Table3[[#This Row],[RN Hours Contract]:[Med Aide Hours Contract]])</f>
        <v>8.8442222222222231</v>
      </c>
      <c r="X33" s="3">
        <v>0</v>
      </c>
      <c r="Y33" s="3">
        <v>0</v>
      </c>
      <c r="Z33" s="3">
        <v>0</v>
      </c>
      <c r="AA33" s="3">
        <v>0</v>
      </c>
      <c r="AB33" s="3">
        <v>0</v>
      </c>
      <c r="AC33" s="3">
        <v>8.8442222222222231</v>
      </c>
      <c r="AD33" s="3">
        <v>0</v>
      </c>
      <c r="AE33" s="3">
        <v>0</v>
      </c>
      <c r="AF33" t="s">
        <v>31</v>
      </c>
      <c r="AG33" s="13">
        <v>10</v>
      </c>
      <c r="AQ33"/>
    </row>
    <row r="34" spans="1:43" x14ac:dyDescent="0.2">
      <c r="A34" t="s">
        <v>128</v>
      </c>
      <c r="B34" t="s">
        <v>161</v>
      </c>
      <c r="C34" t="s">
        <v>290</v>
      </c>
      <c r="D34" t="s">
        <v>330</v>
      </c>
      <c r="E34" s="3">
        <v>81.166666666666671</v>
      </c>
      <c r="F34" s="3">
        <f>Table3[[#This Row],[Total Hours Nurse Staffing]]/Table3[[#This Row],[MDS Census]]</f>
        <v>4.9402149212867901</v>
      </c>
      <c r="G34" s="3">
        <f>Table3[[#This Row],[Total Direct Care Staff Hours]]/Table3[[#This Row],[MDS Census]]</f>
        <v>4.5888418891170426</v>
      </c>
      <c r="H34" s="3">
        <f>Table3[[#This Row],[Total RN Hours (w/ Admin, DON)]]/Table3[[#This Row],[MDS Census]]</f>
        <v>0.78476249144421628</v>
      </c>
      <c r="I34" s="3">
        <f>Table3[[#This Row],[RN Hours (excl. Admin, DON)]]/Table3[[#This Row],[MDS Census]]</f>
        <v>0.62410130047912393</v>
      </c>
      <c r="J34" s="3">
        <f t="shared" si="0"/>
        <v>400.9807777777778</v>
      </c>
      <c r="K34" s="3">
        <f>SUM(Table3[[#This Row],[RN Hours (excl. Admin, DON)]], Table3[[#This Row],[LPN Hours (excl. Admin)]], Table3[[#This Row],[CNA Hours]], Table3[[#This Row],[NA TR Hours]], Table3[[#This Row],[Med Aide/Tech Hours]])</f>
        <v>372.46100000000001</v>
      </c>
      <c r="L34" s="3">
        <f>SUM(Table3[[#This Row],[RN Hours (excl. Admin, DON)]:[RN DON Hours]])</f>
        <v>63.696555555555562</v>
      </c>
      <c r="M34" s="3">
        <v>50.656222222222226</v>
      </c>
      <c r="N34" s="3">
        <v>8.062555555555555</v>
      </c>
      <c r="O34" s="3">
        <v>4.9777777777777779</v>
      </c>
      <c r="P34" s="3">
        <f>SUM(Table3[[#This Row],[LPN Hours (excl. Admin)]:[LPN Admin Hours]])</f>
        <v>61.330000000000005</v>
      </c>
      <c r="Q34" s="3">
        <v>45.850555555555559</v>
      </c>
      <c r="R34" s="3">
        <v>15.479444444444445</v>
      </c>
      <c r="S34" s="3">
        <f>SUM(Table3[[#This Row],[CNA Hours]], Table3[[#This Row],[NA TR Hours]], Table3[[#This Row],[Med Aide/Tech Hours]])</f>
        <v>275.95422222222226</v>
      </c>
      <c r="T34" s="3">
        <v>215.64988888888891</v>
      </c>
      <c r="U34" s="3">
        <v>31.469333333333331</v>
      </c>
      <c r="V34" s="3">
        <v>28.835000000000001</v>
      </c>
      <c r="W34" s="3">
        <f>SUM(Table3[[#This Row],[RN Hours Contract]:[Med Aide Hours Contract]])</f>
        <v>33.169777777777774</v>
      </c>
      <c r="X34" s="3">
        <v>8.8000000000000007</v>
      </c>
      <c r="Y34" s="3">
        <v>0</v>
      </c>
      <c r="Z34" s="3">
        <v>0</v>
      </c>
      <c r="AA34" s="3">
        <v>3.0027777777777778</v>
      </c>
      <c r="AB34" s="3">
        <v>0</v>
      </c>
      <c r="AC34" s="3">
        <v>19.986444444444444</v>
      </c>
      <c r="AD34" s="3">
        <v>0</v>
      </c>
      <c r="AE34" s="3">
        <v>1.3805555555555555</v>
      </c>
      <c r="AF34" t="s">
        <v>32</v>
      </c>
      <c r="AG34" s="13">
        <v>10</v>
      </c>
      <c r="AQ34"/>
    </row>
    <row r="35" spans="1:43" x14ac:dyDescent="0.2">
      <c r="A35" t="s">
        <v>128</v>
      </c>
      <c r="B35" t="s">
        <v>162</v>
      </c>
      <c r="C35" t="s">
        <v>278</v>
      </c>
      <c r="D35" t="s">
        <v>342</v>
      </c>
      <c r="E35" s="3">
        <v>25.366666666666667</v>
      </c>
      <c r="F35" s="3">
        <f>Table3[[#This Row],[Total Hours Nurse Staffing]]/Table3[[#This Row],[MDS Census]]</f>
        <v>4.3824353920280332</v>
      </c>
      <c r="G35" s="3">
        <f>Table3[[#This Row],[Total Direct Care Staff Hours]]/Table3[[#This Row],[MDS Census]]</f>
        <v>3.9311826544021025</v>
      </c>
      <c r="H35" s="3">
        <f>Table3[[#This Row],[Total RN Hours (w/ Admin, DON)]]/Table3[[#This Row],[MDS Census]]</f>
        <v>0.81795444590451161</v>
      </c>
      <c r="I35" s="3">
        <f>Table3[[#This Row],[RN Hours (excl. Admin, DON)]]/Table3[[#This Row],[MDS Census]]</f>
        <v>0.36670170827858078</v>
      </c>
      <c r="J35" s="3">
        <f t="shared" si="0"/>
        <v>111.16777777777779</v>
      </c>
      <c r="K35" s="3">
        <f>SUM(Table3[[#This Row],[RN Hours (excl. Admin, DON)]], Table3[[#This Row],[LPN Hours (excl. Admin)]], Table3[[#This Row],[CNA Hours]], Table3[[#This Row],[NA TR Hours]], Table3[[#This Row],[Med Aide/Tech Hours]])</f>
        <v>99.721000000000004</v>
      </c>
      <c r="L35" s="3">
        <f>SUM(Table3[[#This Row],[RN Hours (excl. Admin, DON)]:[RN DON Hours]])</f>
        <v>20.748777777777779</v>
      </c>
      <c r="M35" s="3">
        <v>9.3019999999999996</v>
      </c>
      <c r="N35" s="3">
        <v>6.3523333333333341</v>
      </c>
      <c r="O35" s="3">
        <v>5.0944444444444441</v>
      </c>
      <c r="P35" s="3">
        <f>SUM(Table3[[#This Row],[LPN Hours (excl. Admin)]:[LPN Admin Hours]])</f>
        <v>18.790111111111109</v>
      </c>
      <c r="Q35" s="3">
        <v>18.790111111111109</v>
      </c>
      <c r="R35" s="3">
        <v>0</v>
      </c>
      <c r="S35" s="3">
        <f>SUM(Table3[[#This Row],[CNA Hours]], Table3[[#This Row],[NA TR Hours]], Table3[[#This Row],[Med Aide/Tech Hours]])</f>
        <v>71.628888888888895</v>
      </c>
      <c r="T35" s="3">
        <v>71.628888888888895</v>
      </c>
      <c r="U35" s="3">
        <v>0</v>
      </c>
      <c r="V35" s="3">
        <v>0</v>
      </c>
      <c r="W35" s="3">
        <f>SUM(Table3[[#This Row],[RN Hours Contract]:[Med Aide Hours Contract]])</f>
        <v>22.819444444444443</v>
      </c>
      <c r="X35" s="3">
        <v>0</v>
      </c>
      <c r="Y35" s="3">
        <v>0</v>
      </c>
      <c r="Z35" s="3">
        <v>0</v>
      </c>
      <c r="AA35" s="3">
        <v>5.6138888888888889</v>
      </c>
      <c r="AB35" s="3">
        <v>0</v>
      </c>
      <c r="AC35" s="3">
        <v>17.205555555555556</v>
      </c>
      <c r="AD35" s="3">
        <v>0</v>
      </c>
      <c r="AE35" s="3">
        <v>0</v>
      </c>
      <c r="AF35" t="s">
        <v>33</v>
      </c>
      <c r="AG35" s="13">
        <v>10</v>
      </c>
      <c r="AQ35"/>
    </row>
    <row r="36" spans="1:43" x14ac:dyDescent="0.2">
      <c r="A36" t="s">
        <v>128</v>
      </c>
      <c r="B36" t="s">
        <v>163</v>
      </c>
      <c r="C36" t="s">
        <v>263</v>
      </c>
      <c r="D36" t="s">
        <v>334</v>
      </c>
      <c r="E36" s="3">
        <v>76.922222222222217</v>
      </c>
      <c r="F36" s="3">
        <f>Table3[[#This Row],[Total Hours Nurse Staffing]]/Table3[[#This Row],[MDS Census]]</f>
        <v>5.1117709085656511</v>
      </c>
      <c r="G36" s="3">
        <f>Table3[[#This Row],[Total Direct Care Staff Hours]]/Table3[[#This Row],[MDS Census]]</f>
        <v>4.8208912321248016</v>
      </c>
      <c r="H36" s="3">
        <f>Table3[[#This Row],[Total RN Hours (w/ Admin, DON)]]/Table3[[#This Row],[MDS Census]]</f>
        <v>0.76045211613462382</v>
      </c>
      <c r="I36" s="3">
        <f>Table3[[#This Row],[RN Hours (excl. Admin, DON)]]/Table3[[#This Row],[MDS Census]]</f>
        <v>0.46957243969377438</v>
      </c>
      <c r="J36" s="3">
        <f t="shared" si="0"/>
        <v>393.20877777777775</v>
      </c>
      <c r="K36" s="3">
        <f>SUM(Table3[[#This Row],[RN Hours (excl. Admin, DON)]], Table3[[#This Row],[LPN Hours (excl. Admin)]], Table3[[#This Row],[CNA Hours]], Table3[[#This Row],[NA TR Hours]], Table3[[#This Row],[Med Aide/Tech Hours]])</f>
        <v>370.83366666666666</v>
      </c>
      <c r="L36" s="3">
        <f>SUM(Table3[[#This Row],[RN Hours (excl. Admin, DON)]:[RN DON Hours]])</f>
        <v>58.495666666666672</v>
      </c>
      <c r="M36" s="3">
        <v>36.120555555555555</v>
      </c>
      <c r="N36" s="3">
        <v>16.775111111111112</v>
      </c>
      <c r="O36" s="3">
        <v>5.6</v>
      </c>
      <c r="P36" s="3">
        <f>SUM(Table3[[#This Row],[LPN Hours (excl. Admin)]:[LPN Admin Hours]])</f>
        <v>78.899222222222221</v>
      </c>
      <c r="Q36" s="3">
        <v>78.899222222222221</v>
      </c>
      <c r="R36" s="3">
        <v>0</v>
      </c>
      <c r="S36" s="3">
        <f>SUM(Table3[[#This Row],[CNA Hours]], Table3[[#This Row],[NA TR Hours]], Table3[[#This Row],[Med Aide/Tech Hours]])</f>
        <v>255.8138888888889</v>
      </c>
      <c r="T36" s="3">
        <v>236.71666666666667</v>
      </c>
      <c r="U36" s="3">
        <v>0</v>
      </c>
      <c r="V36" s="3">
        <v>19.097222222222221</v>
      </c>
      <c r="W36" s="3">
        <f>SUM(Table3[[#This Row],[RN Hours Contract]:[Med Aide Hours Contract]])</f>
        <v>19.217222222222226</v>
      </c>
      <c r="X36" s="3">
        <v>0.71</v>
      </c>
      <c r="Y36" s="3">
        <v>0</v>
      </c>
      <c r="Z36" s="3">
        <v>0</v>
      </c>
      <c r="AA36" s="3">
        <v>2.4018888888888887</v>
      </c>
      <c r="AB36" s="3">
        <v>0</v>
      </c>
      <c r="AC36" s="3">
        <v>16.105333333333338</v>
      </c>
      <c r="AD36" s="3">
        <v>0</v>
      </c>
      <c r="AE36" s="3">
        <v>0</v>
      </c>
      <c r="AF36" t="s">
        <v>34</v>
      </c>
      <c r="AG36" s="13">
        <v>10</v>
      </c>
      <c r="AQ36"/>
    </row>
    <row r="37" spans="1:43" x14ac:dyDescent="0.2">
      <c r="A37" t="s">
        <v>128</v>
      </c>
      <c r="B37" t="s">
        <v>164</v>
      </c>
      <c r="C37" t="s">
        <v>281</v>
      </c>
      <c r="D37" t="s">
        <v>335</v>
      </c>
      <c r="E37" s="3">
        <v>31.9</v>
      </c>
      <c r="F37" s="3">
        <f>Table3[[#This Row],[Total Hours Nurse Staffing]]/Table3[[#This Row],[MDS Census]]</f>
        <v>4.7672169975618255</v>
      </c>
      <c r="G37" s="3">
        <f>Table3[[#This Row],[Total Direct Care Staff Hours]]/Table3[[#This Row],[MDS Census]]</f>
        <v>4.5775618251480319</v>
      </c>
      <c r="H37" s="3">
        <f>Table3[[#This Row],[Total RN Hours (w/ Admin, DON)]]/Table3[[#This Row],[MDS Census]]</f>
        <v>0.33233368164402644</v>
      </c>
      <c r="I37" s="3">
        <f>Table3[[#This Row],[RN Hours (excl. Admin, DON)]]/Table3[[#This Row],[MDS Census]]</f>
        <v>0.15678509230233367</v>
      </c>
      <c r="J37" s="3">
        <f t="shared" si="0"/>
        <v>152.07422222222223</v>
      </c>
      <c r="K37" s="3">
        <f>SUM(Table3[[#This Row],[RN Hours (excl. Admin, DON)]], Table3[[#This Row],[LPN Hours (excl. Admin)]], Table3[[#This Row],[CNA Hours]], Table3[[#This Row],[NA TR Hours]], Table3[[#This Row],[Med Aide/Tech Hours]])</f>
        <v>146.02422222222222</v>
      </c>
      <c r="L37" s="3">
        <f>SUM(Table3[[#This Row],[RN Hours (excl. Admin, DON)]:[RN DON Hours]])</f>
        <v>10.601444444444443</v>
      </c>
      <c r="M37" s="3">
        <v>5.0014444444444441</v>
      </c>
      <c r="N37" s="3">
        <v>0</v>
      </c>
      <c r="O37" s="3">
        <v>5.6</v>
      </c>
      <c r="P37" s="3">
        <f>SUM(Table3[[#This Row],[LPN Hours (excl. Admin)]:[LPN Admin Hours]])</f>
        <v>45.411555555555559</v>
      </c>
      <c r="Q37" s="3">
        <v>44.961555555555556</v>
      </c>
      <c r="R37" s="3">
        <v>0.45</v>
      </c>
      <c r="S37" s="3">
        <f>SUM(Table3[[#This Row],[CNA Hours]], Table3[[#This Row],[NA TR Hours]], Table3[[#This Row],[Med Aide/Tech Hours]])</f>
        <v>96.061222222222227</v>
      </c>
      <c r="T37" s="3">
        <v>88.181888888888892</v>
      </c>
      <c r="U37" s="3">
        <v>0</v>
      </c>
      <c r="V37" s="3">
        <v>7.8793333333333333</v>
      </c>
      <c r="W37" s="3">
        <f>SUM(Table3[[#This Row],[RN Hours Contract]:[Med Aide Hours Contract]])</f>
        <v>10.155555555555555</v>
      </c>
      <c r="X37" s="3">
        <v>0</v>
      </c>
      <c r="Y37" s="3">
        <v>0</v>
      </c>
      <c r="Z37" s="3">
        <v>0</v>
      </c>
      <c r="AA37" s="3">
        <v>6.8083333333333336</v>
      </c>
      <c r="AB37" s="3">
        <v>0.45</v>
      </c>
      <c r="AC37" s="3">
        <v>2.8972222222222221</v>
      </c>
      <c r="AD37" s="3">
        <v>0</v>
      </c>
      <c r="AE37" s="3">
        <v>0</v>
      </c>
      <c r="AF37" t="s">
        <v>35</v>
      </c>
      <c r="AG37" s="13">
        <v>10</v>
      </c>
      <c r="AQ37"/>
    </row>
    <row r="38" spans="1:43" x14ac:dyDescent="0.2">
      <c r="A38" t="s">
        <v>128</v>
      </c>
      <c r="B38" t="s">
        <v>165</v>
      </c>
      <c r="C38" t="s">
        <v>283</v>
      </c>
      <c r="D38" t="s">
        <v>337</v>
      </c>
      <c r="E38" s="3">
        <v>100.14444444444445</v>
      </c>
      <c r="F38" s="3">
        <f>Table3[[#This Row],[Total Hours Nurse Staffing]]/Table3[[#This Row],[MDS Census]]</f>
        <v>4.9431632086985466</v>
      </c>
      <c r="G38" s="3">
        <f>Table3[[#This Row],[Total Direct Care Staff Hours]]/Table3[[#This Row],[MDS Census]]</f>
        <v>4.4473416176633753</v>
      </c>
      <c r="H38" s="3">
        <f>Table3[[#This Row],[Total RN Hours (w/ Admin, DON)]]/Table3[[#This Row],[MDS Census]]</f>
        <v>0.55662154665483188</v>
      </c>
      <c r="I38" s="3">
        <f>Table3[[#This Row],[RN Hours (excl. Admin, DON)]]/Table3[[#This Row],[MDS Census]]</f>
        <v>0.24083767890824365</v>
      </c>
      <c r="J38" s="3">
        <f t="shared" si="0"/>
        <v>495.03033333333337</v>
      </c>
      <c r="K38" s="3">
        <f>SUM(Table3[[#This Row],[RN Hours (excl. Admin, DON)]], Table3[[#This Row],[LPN Hours (excl. Admin)]], Table3[[#This Row],[CNA Hours]], Table3[[#This Row],[NA TR Hours]], Table3[[#This Row],[Med Aide/Tech Hours]])</f>
        <v>445.37655555555557</v>
      </c>
      <c r="L38" s="3">
        <f>SUM(Table3[[#This Row],[RN Hours (excl. Admin, DON)]:[RN DON Hours]])</f>
        <v>55.742555555555555</v>
      </c>
      <c r="M38" s="3">
        <v>24.118555555555556</v>
      </c>
      <c r="N38" s="3">
        <v>21.02311111111111</v>
      </c>
      <c r="O38" s="3">
        <v>10.600888888888889</v>
      </c>
      <c r="P38" s="3">
        <f>SUM(Table3[[#This Row],[LPN Hours (excl. Admin)]:[LPN Admin Hours]])</f>
        <v>115.23933333333335</v>
      </c>
      <c r="Q38" s="3">
        <v>97.209555555555568</v>
      </c>
      <c r="R38" s="3">
        <v>18.029777777777777</v>
      </c>
      <c r="S38" s="3">
        <f>SUM(Table3[[#This Row],[CNA Hours]], Table3[[#This Row],[NA TR Hours]], Table3[[#This Row],[Med Aide/Tech Hours]])</f>
        <v>324.04844444444444</v>
      </c>
      <c r="T38" s="3">
        <v>249.81333333333333</v>
      </c>
      <c r="U38" s="3">
        <v>28.893555555555558</v>
      </c>
      <c r="V38" s="3">
        <v>45.341555555555558</v>
      </c>
      <c r="W38" s="3">
        <f>SUM(Table3[[#This Row],[RN Hours Contract]:[Med Aide Hours Contract]])</f>
        <v>152.21199999999999</v>
      </c>
      <c r="X38" s="3">
        <v>7.0863333333333332</v>
      </c>
      <c r="Y38" s="3">
        <v>0</v>
      </c>
      <c r="Z38" s="3">
        <v>5.089777777777778</v>
      </c>
      <c r="AA38" s="3">
        <v>27.817555555555554</v>
      </c>
      <c r="AB38" s="3">
        <v>0</v>
      </c>
      <c r="AC38" s="3">
        <v>110.74611111111109</v>
      </c>
      <c r="AD38" s="3">
        <v>0</v>
      </c>
      <c r="AE38" s="3">
        <v>1.4722222222222223</v>
      </c>
      <c r="AF38" t="s">
        <v>36</v>
      </c>
      <c r="AG38" s="13">
        <v>10</v>
      </c>
      <c r="AQ38"/>
    </row>
    <row r="39" spans="1:43" x14ac:dyDescent="0.2">
      <c r="A39" t="s">
        <v>128</v>
      </c>
      <c r="B39" t="s">
        <v>166</v>
      </c>
      <c r="C39" t="s">
        <v>283</v>
      </c>
      <c r="D39" t="s">
        <v>337</v>
      </c>
      <c r="E39" s="3">
        <v>111.28888888888889</v>
      </c>
      <c r="F39" s="3">
        <f>Table3[[#This Row],[Total Hours Nurse Staffing]]/Table3[[#This Row],[MDS Census]]</f>
        <v>4.1028284744408943</v>
      </c>
      <c r="G39" s="3">
        <f>Table3[[#This Row],[Total Direct Care Staff Hours]]/Table3[[#This Row],[MDS Census]]</f>
        <v>3.7470487220447284</v>
      </c>
      <c r="H39" s="3">
        <f>Table3[[#This Row],[Total RN Hours (w/ Admin, DON)]]/Table3[[#This Row],[MDS Census]]</f>
        <v>0.48826277955271563</v>
      </c>
      <c r="I39" s="3">
        <f>Table3[[#This Row],[RN Hours (excl. Admin, DON)]]/Table3[[#This Row],[MDS Census]]</f>
        <v>0.18520367412140573</v>
      </c>
      <c r="J39" s="3">
        <f t="shared" si="0"/>
        <v>456.59922222222224</v>
      </c>
      <c r="K39" s="3">
        <f>SUM(Table3[[#This Row],[RN Hours (excl. Admin, DON)]], Table3[[#This Row],[LPN Hours (excl. Admin)]], Table3[[#This Row],[CNA Hours]], Table3[[#This Row],[NA TR Hours]], Table3[[#This Row],[Med Aide/Tech Hours]])</f>
        <v>417.0048888888889</v>
      </c>
      <c r="L39" s="3">
        <f>SUM(Table3[[#This Row],[RN Hours (excl. Admin, DON)]:[RN DON Hours]])</f>
        <v>54.338222222222221</v>
      </c>
      <c r="M39" s="3">
        <v>20.611111111111111</v>
      </c>
      <c r="N39" s="3">
        <v>28.30488888888889</v>
      </c>
      <c r="O39" s="3">
        <v>5.4222222222222225</v>
      </c>
      <c r="P39" s="3">
        <f>SUM(Table3[[#This Row],[LPN Hours (excl. Admin)]:[LPN Admin Hours]])</f>
        <v>101.11588888888888</v>
      </c>
      <c r="Q39" s="3">
        <v>95.248666666666651</v>
      </c>
      <c r="R39" s="3">
        <v>5.8672222222222219</v>
      </c>
      <c r="S39" s="3">
        <f>SUM(Table3[[#This Row],[CNA Hours]], Table3[[#This Row],[NA TR Hours]], Table3[[#This Row],[Med Aide/Tech Hours]])</f>
        <v>301.14511111111113</v>
      </c>
      <c r="T39" s="3">
        <v>258.38444444444445</v>
      </c>
      <c r="U39" s="3">
        <v>14.944555555555555</v>
      </c>
      <c r="V39" s="3">
        <v>27.816111111111109</v>
      </c>
      <c r="W39" s="3">
        <f>SUM(Table3[[#This Row],[RN Hours Contract]:[Med Aide Hours Contract]])</f>
        <v>216.42477777777776</v>
      </c>
      <c r="X39" s="3">
        <v>18.472222222222221</v>
      </c>
      <c r="Y39" s="3">
        <v>2.1416666666666666</v>
      </c>
      <c r="Z39" s="3">
        <v>0</v>
      </c>
      <c r="AA39" s="3">
        <v>58.702777777777776</v>
      </c>
      <c r="AB39" s="3">
        <v>0</v>
      </c>
      <c r="AC39" s="3">
        <v>132.54977777777776</v>
      </c>
      <c r="AD39" s="3">
        <v>0</v>
      </c>
      <c r="AE39" s="3">
        <v>4.5583333333333336</v>
      </c>
      <c r="AF39" t="s">
        <v>37</v>
      </c>
      <c r="AG39" s="13">
        <v>10</v>
      </c>
      <c r="AQ39"/>
    </row>
    <row r="40" spans="1:43" x14ac:dyDescent="0.2">
      <c r="A40" t="s">
        <v>128</v>
      </c>
      <c r="B40" t="s">
        <v>167</v>
      </c>
      <c r="C40" t="s">
        <v>291</v>
      </c>
      <c r="D40" t="s">
        <v>339</v>
      </c>
      <c r="E40" s="3">
        <v>43.388888888888886</v>
      </c>
      <c r="F40" s="3">
        <f>Table3[[#This Row],[Total Hours Nurse Staffing]]/Table3[[#This Row],[MDS Census]]</f>
        <v>4.915851472471191</v>
      </c>
      <c r="G40" s="3">
        <f>Table3[[#This Row],[Total Direct Care Staff Hours]]/Table3[[#This Row],[MDS Census]]</f>
        <v>4.4693008962868115</v>
      </c>
      <c r="H40" s="3">
        <f>Table3[[#This Row],[Total RN Hours (w/ Admin, DON)]]/Table3[[#This Row],[MDS Census]]</f>
        <v>0.54741869398207432</v>
      </c>
      <c r="I40" s="3">
        <f>Table3[[#This Row],[RN Hours (excl. Admin, DON)]]/Table3[[#This Row],[MDS Census]]</f>
        <v>0.26424839948783613</v>
      </c>
      <c r="J40" s="3">
        <f t="shared" si="0"/>
        <v>213.29333333333332</v>
      </c>
      <c r="K40" s="3">
        <f>SUM(Table3[[#This Row],[RN Hours (excl. Admin, DON)]], Table3[[#This Row],[LPN Hours (excl. Admin)]], Table3[[#This Row],[CNA Hours]], Table3[[#This Row],[NA TR Hours]], Table3[[#This Row],[Med Aide/Tech Hours]])</f>
        <v>193.91799999999998</v>
      </c>
      <c r="L40" s="3">
        <f>SUM(Table3[[#This Row],[RN Hours (excl. Admin, DON)]:[RN DON Hours]])</f>
        <v>23.751888888888889</v>
      </c>
      <c r="M40" s="3">
        <v>11.465444444444445</v>
      </c>
      <c r="N40" s="3">
        <v>7.5419999999999998</v>
      </c>
      <c r="O40" s="3">
        <v>4.7444444444444445</v>
      </c>
      <c r="P40" s="3">
        <f>SUM(Table3[[#This Row],[LPN Hours (excl. Admin)]:[LPN Admin Hours]])</f>
        <v>38.782666666666671</v>
      </c>
      <c r="Q40" s="3">
        <v>31.693777777777779</v>
      </c>
      <c r="R40" s="3">
        <v>7.0888888888888886</v>
      </c>
      <c r="S40" s="3">
        <f>SUM(Table3[[#This Row],[CNA Hours]], Table3[[#This Row],[NA TR Hours]], Table3[[#This Row],[Med Aide/Tech Hours]])</f>
        <v>150.75877777777777</v>
      </c>
      <c r="T40" s="3">
        <v>112.85788888888888</v>
      </c>
      <c r="U40" s="3">
        <v>32.355777777777774</v>
      </c>
      <c r="V40" s="3">
        <v>5.5451111111111127</v>
      </c>
      <c r="W40" s="3">
        <f>SUM(Table3[[#This Row],[RN Hours Contract]:[Med Aide Hours Contract]])</f>
        <v>0</v>
      </c>
      <c r="X40" s="3">
        <v>0</v>
      </c>
      <c r="Y40" s="3">
        <v>0</v>
      </c>
      <c r="Z40" s="3">
        <v>0</v>
      </c>
      <c r="AA40" s="3">
        <v>0</v>
      </c>
      <c r="AB40" s="3">
        <v>0</v>
      </c>
      <c r="AC40" s="3">
        <v>0</v>
      </c>
      <c r="AD40" s="3">
        <v>0</v>
      </c>
      <c r="AE40" s="3">
        <v>0</v>
      </c>
      <c r="AF40" t="s">
        <v>38</v>
      </c>
      <c r="AG40" s="13">
        <v>10</v>
      </c>
      <c r="AQ40"/>
    </row>
    <row r="41" spans="1:43" x14ac:dyDescent="0.2">
      <c r="A41" t="s">
        <v>128</v>
      </c>
      <c r="B41" t="s">
        <v>168</v>
      </c>
      <c r="C41" t="s">
        <v>290</v>
      </c>
      <c r="D41" t="s">
        <v>330</v>
      </c>
      <c r="E41" s="3">
        <v>65.077777777777783</v>
      </c>
      <c r="F41" s="3">
        <f>Table3[[#This Row],[Total Hours Nurse Staffing]]/Table3[[#This Row],[MDS Census]]</f>
        <v>6.6300802458596531</v>
      </c>
      <c r="G41" s="3">
        <f>Table3[[#This Row],[Total Direct Care Staff Hours]]/Table3[[#This Row],[MDS Census]]</f>
        <v>6.2390831483694722</v>
      </c>
      <c r="H41" s="3">
        <f>Table3[[#This Row],[Total RN Hours (w/ Admin, DON)]]/Table3[[#This Row],[MDS Census]]</f>
        <v>0.57119173638381415</v>
      </c>
      <c r="I41" s="3">
        <f>Table3[[#This Row],[RN Hours (excl. Admin, DON)]]/Table3[[#This Row],[MDS Census]]</f>
        <v>0.27343349837800918</v>
      </c>
      <c r="J41" s="3">
        <f t="shared" ref="J41:J104" si="1">SUM(L41,P41,S41)</f>
        <v>431.47088888888879</v>
      </c>
      <c r="K41" s="3">
        <f>SUM(Table3[[#This Row],[RN Hours (excl. Admin, DON)]], Table3[[#This Row],[LPN Hours (excl. Admin)]], Table3[[#This Row],[CNA Hours]], Table3[[#This Row],[NA TR Hours]], Table3[[#This Row],[Med Aide/Tech Hours]])</f>
        <v>406.02566666666667</v>
      </c>
      <c r="L41" s="3">
        <f>SUM(Table3[[#This Row],[RN Hours (excl. Admin, DON)]:[RN DON Hours]])</f>
        <v>37.171888888888887</v>
      </c>
      <c r="M41" s="3">
        <v>17.794444444444444</v>
      </c>
      <c r="N41" s="3">
        <v>14.216333333333333</v>
      </c>
      <c r="O41" s="3">
        <v>5.1611111111111114</v>
      </c>
      <c r="P41" s="3">
        <f>SUM(Table3[[#This Row],[LPN Hours (excl. Admin)]:[LPN Admin Hours]])</f>
        <v>122.71088888888887</v>
      </c>
      <c r="Q41" s="3">
        <v>116.6431111111111</v>
      </c>
      <c r="R41" s="3">
        <v>6.0677777777777777</v>
      </c>
      <c r="S41" s="3">
        <f>SUM(Table3[[#This Row],[CNA Hours]], Table3[[#This Row],[NA TR Hours]], Table3[[#This Row],[Med Aide/Tech Hours]])</f>
        <v>271.58811111111106</v>
      </c>
      <c r="T41" s="3">
        <v>231.08533333333332</v>
      </c>
      <c r="U41" s="3">
        <v>7.3158888888888898</v>
      </c>
      <c r="V41" s="3">
        <v>33.186888888888888</v>
      </c>
      <c r="W41" s="3">
        <f>SUM(Table3[[#This Row],[RN Hours Contract]:[Med Aide Hours Contract]])</f>
        <v>189.0071111111111</v>
      </c>
      <c r="X41" s="3">
        <v>14.027777777777779</v>
      </c>
      <c r="Y41" s="3">
        <v>0</v>
      </c>
      <c r="Z41" s="3">
        <v>0</v>
      </c>
      <c r="AA41" s="3">
        <v>67.498666666666665</v>
      </c>
      <c r="AB41" s="3">
        <v>0</v>
      </c>
      <c r="AC41" s="3">
        <v>102.22688888888887</v>
      </c>
      <c r="AD41" s="3">
        <v>0</v>
      </c>
      <c r="AE41" s="3">
        <v>5.2537777777777777</v>
      </c>
      <c r="AF41" t="s">
        <v>39</v>
      </c>
      <c r="AG41" s="13">
        <v>10</v>
      </c>
      <c r="AQ41"/>
    </row>
    <row r="42" spans="1:43" x14ac:dyDescent="0.2">
      <c r="A42" t="s">
        <v>128</v>
      </c>
      <c r="B42" t="s">
        <v>169</v>
      </c>
      <c r="C42" t="s">
        <v>276</v>
      </c>
      <c r="D42" t="s">
        <v>335</v>
      </c>
      <c r="E42" s="3">
        <v>38.344444444444441</v>
      </c>
      <c r="F42" s="3">
        <f>Table3[[#This Row],[Total Hours Nurse Staffing]]/Table3[[#This Row],[MDS Census]]</f>
        <v>4.5251926977687624</v>
      </c>
      <c r="G42" s="3">
        <f>Table3[[#This Row],[Total Direct Care Staff Hours]]/Table3[[#This Row],[MDS Census]]</f>
        <v>3.9365720081135902</v>
      </c>
      <c r="H42" s="3">
        <f>Table3[[#This Row],[Total RN Hours (w/ Admin, DON)]]/Table3[[#This Row],[MDS Census]]</f>
        <v>0.83226311214140836</v>
      </c>
      <c r="I42" s="3">
        <f>Table3[[#This Row],[RN Hours (excl. Admin, DON)]]/Table3[[#This Row],[MDS Census]]</f>
        <v>0.39430599826137352</v>
      </c>
      <c r="J42" s="3">
        <f t="shared" si="1"/>
        <v>173.51599999999999</v>
      </c>
      <c r="K42" s="3">
        <f>SUM(Table3[[#This Row],[RN Hours (excl. Admin, DON)]], Table3[[#This Row],[LPN Hours (excl. Admin)]], Table3[[#This Row],[CNA Hours]], Table3[[#This Row],[NA TR Hours]], Table3[[#This Row],[Med Aide/Tech Hours]])</f>
        <v>150.94566666666665</v>
      </c>
      <c r="L42" s="3">
        <f>SUM(Table3[[#This Row],[RN Hours (excl. Admin, DON)]:[RN DON Hours]])</f>
        <v>31.912666666666667</v>
      </c>
      <c r="M42" s="3">
        <v>15.119444444444444</v>
      </c>
      <c r="N42" s="3">
        <v>11.104333333333333</v>
      </c>
      <c r="O42" s="3">
        <v>5.6888888888888891</v>
      </c>
      <c r="P42" s="3">
        <f>SUM(Table3[[#This Row],[LPN Hours (excl. Admin)]:[LPN Admin Hours]])</f>
        <v>36.892555555555553</v>
      </c>
      <c r="Q42" s="3">
        <v>31.115444444444442</v>
      </c>
      <c r="R42" s="3">
        <v>5.777111111111112</v>
      </c>
      <c r="S42" s="3">
        <f>SUM(Table3[[#This Row],[CNA Hours]], Table3[[#This Row],[NA TR Hours]], Table3[[#This Row],[Med Aide/Tech Hours]])</f>
        <v>104.71077777777776</v>
      </c>
      <c r="T42" s="3">
        <v>90.61088888888888</v>
      </c>
      <c r="U42" s="3">
        <v>11.600888888888891</v>
      </c>
      <c r="V42" s="3">
        <v>2.4990000000000001</v>
      </c>
      <c r="W42" s="3">
        <f>SUM(Table3[[#This Row],[RN Hours Contract]:[Med Aide Hours Contract]])</f>
        <v>9.2875555555555565</v>
      </c>
      <c r="X42" s="3">
        <v>0</v>
      </c>
      <c r="Y42" s="3">
        <v>0</v>
      </c>
      <c r="Z42" s="3">
        <v>0</v>
      </c>
      <c r="AA42" s="3">
        <v>6.2934444444444457</v>
      </c>
      <c r="AB42" s="3">
        <v>0</v>
      </c>
      <c r="AC42" s="3">
        <v>2.57</v>
      </c>
      <c r="AD42" s="3">
        <v>0</v>
      </c>
      <c r="AE42" s="3">
        <v>0.42411111111111111</v>
      </c>
      <c r="AF42" t="s">
        <v>40</v>
      </c>
      <c r="AG42" s="13">
        <v>10</v>
      </c>
      <c r="AQ42"/>
    </row>
    <row r="43" spans="1:43" x14ac:dyDescent="0.2">
      <c r="A43" t="s">
        <v>128</v>
      </c>
      <c r="B43" t="s">
        <v>170</v>
      </c>
      <c r="C43" t="s">
        <v>292</v>
      </c>
      <c r="D43" t="s">
        <v>321</v>
      </c>
      <c r="E43" s="3">
        <v>45.611111111111114</v>
      </c>
      <c r="F43" s="3">
        <f>Table3[[#This Row],[Total Hours Nurse Staffing]]/Table3[[#This Row],[MDS Census]]</f>
        <v>5.6353373934226552</v>
      </c>
      <c r="G43" s="3">
        <f>Table3[[#This Row],[Total Direct Care Staff Hours]]/Table3[[#This Row],[MDS Census]]</f>
        <v>5.0257174177831905</v>
      </c>
      <c r="H43" s="3">
        <f>Table3[[#This Row],[Total RN Hours (w/ Admin, DON)]]/Table3[[#This Row],[MDS Census]]</f>
        <v>1.1603995127892817</v>
      </c>
      <c r="I43" s="3">
        <f>Table3[[#This Row],[RN Hours (excl. Admin, DON)]]/Table3[[#This Row],[MDS Census]]</f>
        <v>0.67707917174177823</v>
      </c>
      <c r="J43" s="3">
        <f t="shared" si="1"/>
        <v>257.03399999999999</v>
      </c>
      <c r="K43" s="3">
        <f>SUM(Table3[[#This Row],[RN Hours (excl. Admin, DON)]], Table3[[#This Row],[LPN Hours (excl. Admin)]], Table3[[#This Row],[CNA Hours]], Table3[[#This Row],[NA TR Hours]], Table3[[#This Row],[Med Aide/Tech Hours]])</f>
        <v>229.22855555555554</v>
      </c>
      <c r="L43" s="3">
        <f>SUM(Table3[[#This Row],[RN Hours (excl. Admin, DON)]:[RN DON Hours]])</f>
        <v>52.927111111111124</v>
      </c>
      <c r="M43" s="3">
        <v>30.882333333333332</v>
      </c>
      <c r="N43" s="3">
        <v>16.428111111111122</v>
      </c>
      <c r="O43" s="3">
        <v>5.6166666666666663</v>
      </c>
      <c r="P43" s="3">
        <f>SUM(Table3[[#This Row],[LPN Hours (excl. Admin)]:[LPN Admin Hours]])</f>
        <v>41.324888888888893</v>
      </c>
      <c r="Q43" s="3">
        <v>35.564222222222227</v>
      </c>
      <c r="R43" s="3">
        <v>5.7606666666666673</v>
      </c>
      <c r="S43" s="3">
        <f>SUM(Table3[[#This Row],[CNA Hours]], Table3[[#This Row],[NA TR Hours]], Table3[[#This Row],[Med Aide/Tech Hours]])</f>
        <v>162.78199999999998</v>
      </c>
      <c r="T43" s="3">
        <v>138.95011111111111</v>
      </c>
      <c r="U43" s="3">
        <v>10.386888888888889</v>
      </c>
      <c r="V43" s="3">
        <v>13.444999999999997</v>
      </c>
      <c r="W43" s="3">
        <f>SUM(Table3[[#This Row],[RN Hours Contract]:[Med Aide Hours Contract]])</f>
        <v>0.2</v>
      </c>
      <c r="X43" s="3">
        <v>0</v>
      </c>
      <c r="Y43" s="3">
        <v>6.6666666666666666E-2</v>
      </c>
      <c r="Z43" s="3">
        <v>0</v>
      </c>
      <c r="AA43" s="3">
        <v>0</v>
      </c>
      <c r="AB43" s="3">
        <v>0</v>
      </c>
      <c r="AC43" s="3">
        <v>0.13333333333333333</v>
      </c>
      <c r="AD43" s="3">
        <v>0</v>
      </c>
      <c r="AE43" s="3">
        <v>0</v>
      </c>
      <c r="AF43" t="s">
        <v>41</v>
      </c>
      <c r="AG43" s="13">
        <v>10</v>
      </c>
      <c r="AQ43"/>
    </row>
    <row r="44" spans="1:43" x14ac:dyDescent="0.2">
      <c r="A44" t="s">
        <v>128</v>
      </c>
      <c r="B44" t="s">
        <v>171</v>
      </c>
      <c r="C44" t="s">
        <v>281</v>
      </c>
      <c r="D44" t="s">
        <v>335</v>
      </c>
      <c r="E44" s="3">
        <v>100.47777777777777</v>
      </c>
      <c r="F44" s="3">
        <f>Table3[[#This Row],[Total Hours Nurse Staffing]]/Table3[[#This Row],[MDS Census]]</f>
        <v>4.8588797965277015</v>
      </c>
      <c r="G44" s="3">
        <f>Table3[[#This Row],[Total Direct Care Staff Hours]]/Table3[[#This Row],[MDS Census]]</f>
        <v>4.3912672785580007</v>
      </c>
      <c r="H44" s="3">
        <f>Table3[[#This Row],[Total RN Hours (w/ Admin, DON)]]/Table3[[#This Row],[MDS Census]]</f>
        <v>0.47313723321906442</v>
      </c>
      <c r="I44" s="3">
        <f>Table3[[#This Row],[RN Hours (excl. Admin, DON)]]/Table3[[#This Row],[MDS Census]]</f>
        <v>0.14209222603118435</v>
      </c>
      <c r="J44" s="3">
        <f t="shared" si="1"/>
        <v>488.20944444444444</v>
      </c>
      <c r="K44" s="3">
        <f>SUM(Table3[[#This Row],[RN Hours (excl. Admin, DON)]], Table3[[#This Row],[LPN Hours (excl. Admin)]], Table3[[#This Row],[CNA Hours]], Table3[[#This Row],[NA TR Hours]], Table3[[#This Row],[Med Aide/Tech Hours]])</f>
        <v>441.22477777777777</v>
      </c>
      <c r="L44" s="3">
        <f>SUM(Table3[[#This Row],[RN Hours (excl. Admin, DON)]:[RN DON Hours]])</f>
        <v>47.539777777777772</v>
      </c>
      <c r="M44" s="3">
        <v>14.277111111111111</v>
      </c>
      <c r="N44" s="3">
        <v>28.284888888888887</v>
      </c>
      <c r="O44" s="3">
        <v>4.9777777777777779</v>
      </c>
      <c r="P44" s="3">
        <f>SUM(Table3[[#This Row],[LPN Hours (excl. Admin)]:[LPN Admin Hours]])</f>
        <v>108.43755555555555</v>
      </c>
      <c r="Q44" s="3">
        <v>94.715555555555554</v>
      </c>
      <c r="R44" s="3">
        <v>13.722</v>
      </c>
      <c r="S44" s="3">
        <f>SUM(Table3[[#This Row],[CNA Hours]], Table3[[#This Row],[NA TR Hours]], Table3[[#This Row],[Med Aide/Tech Hours]])</f>
        <v>332.23211111111112</v>
      </c>
      <c r="T44" s="3">
        <v>253.03188888888889</v>
      </c>
      <c r="U44" s="3">
        <v>21.232555555555553</v>
      </c>
      <c r="V44" s="3">
        <v>57.967666666666666</v>
      </c>
      <c r="W44" s="3">
        <f>SUM(Table3[[#This Row],[RN Hours Contract]:[Med Aide Hours Contract]])</f>
        <v>44.235444444444447</v>
      </c>
      <c r="X44" s="3">
        <v>3.8605555555555555</v>
      </c>
      <c r="Y44" s="3">
        <v>0</v>
      </c>
      <c r="Z44" s="3">
        <v>0</v>
      </c>
      <c r="AA44" s="3">
        <v>5.581555555555556</v>
      </c>
      <c r="AB44" s="3">
        <v>0</v>
      </c>
      <c r="AC44" s="3">
        <v>34.704444444444448</v>
      </c>
      <c r="AD44" s="3">
        <v>0</v>
      </c>
      <c r="AE44" s="3">
        <v>8.8888888888888892E-2</v>
      </c>
      <c r="AF44" t="s">
        <v>42</v>
      </c>
      <c r="AG44" s="13">
        <v>10</v>
      </c>
      <c r="AQ44"/>
    </row>
    <row r="45" spans="1:43" x14ac:dyDescent="0.2">
      <c r="A45" t="s">
        <v>128</v>
      </c>
      <c r="B45" t="s">
        <v>172</v>
      </c>
      <c r="C45" t="s">
        <v>293</v>
      </c>
      <c r="D45" t="s">
        <v>332</v>
      </c>
      <c r="E45" s="3">
        <v>38.68888888888889</v>
      </c>
      <c r="F45" s="3">
        <f>Table3[[#This Row],[Total Hours Nurse Staffing]]/Table3[[#This Row],[MDS Census]]</f>
        <v>5.0424468696151639</v>
      </c>
      <c r="G45" s="3">
        <f>Table3[[#This Row],[Total Direct Care Staff Hours]]/Table3[[#This Row],[MDS Census]]</f>
        <v>4.424747271682941</v>
      </c>
      <c r="H45" s="3">
        <f>Table3[[#This Row],[Total RN Hours (w/ Admin, DON)]]/Table3[[#This Row],[MDS Census]]</f>
        <v>0.79132395175186676</v>
      </c>
      <c r="I45" s="3">
        <f>Table3[[#This Row],[RN Hours (excl. Admin, DON)]]/Table3[[#This Row],[MDS Census]]</f>
        <v>0.52850373348650204</v>
      </c>
      <c r="J45" s="3">
        <f t="shared" si="1"/>
        <v>195.08666666666667</v>
      </c>
      <c r="K45" s="3">
        <f>SUM(Table3[[#This Row],[RN Hours (excl. Admin, DON)]], Table3[[#This Row],[LPN Hours (excl. Admin)]], Table3[[#This Row],[CNA Hours]], Table3[[#This Row],[NA TR Hours]], Table3[[#This Row],[Med Aide/Tech Hours]])</f>
        <v>171.18855555555555</v>
      </c>
      <c r="L45" s="3">
        <f>SUM(Table3[[#This Row],[RN Hours (excl. Admin, DON)]:[RN DON Hours]])</f>
        <v>30.615444444444446</v>
      </c>
      <c r="M45" s="3">
        <v>20.447222222222223</v>
      </c>
      <c r="N45" s="3">
        <v>4.834888888888889</v>
      </c>
      <c r="O45" s="3">
        <v>5.333333333333333</v>
      </c>
      <c r="P45" s="3">
        <f>SUM(Table3[[#This Row],[LPN Hours (excl. Admin)]:[LPN Admin Hours]])</f>
        <v>57.480555555555554</v>
      </c>
      <c r="Q45" s="3">
        <v>43.750666666666667</v>
      </c>
      <c r="R45" s="3">
        <v>13.72988888888889</v>
      </c>
      <c r="S45" s="3">
        <f>SUM(Table3[[#This Row],[CNA Hours]], Table3[[#This Row],[NA TR Hours]], Table3[[#This Row],[Med Aide/Tech Hours]])</f>
        <v>106.99066666666667</v>
      </c>
      <c r="T45" s="3">
        <v>103.34522222222222</v>
      </c>
      <c r="U45" s="3">
        <v>0</v>
      </c>
      <c r="V45" s="3">
        <v>3.6454444444444434</v>
      </c>
      <c r="W45" s="3">
        <f>SUM(Table3[[#This Row],[RN Hours Contract]:[Med Aide Hours Contract]])</f>
        <v>0</v>
      </c>
      <c r="X45" s="3">
        <v>0</v>
      </c>
      <c r="Y45" s="3">
        <v>0</v>
      </c>
      <c r="Z45" s="3">
        <v>0</v>
      </c>
      <c r="AA45" s="3">
        <v>0</v>
      </c>
      <c r="AB45" s="3">
        <v>0</v>
      </c>
      <c r="AC45" s="3">
        <v>0</v>
      </c>
      <c r="AD45" s="3">
        <v>0</v>
      </c>
      <c r="AE45" s="3">
        <v>0</v>
      </c>
      <c r="AF45" t="s">
        <v>43</v>
      </c>
      <c r="AG45" s="13">
        <v>10</v>
      </c>
      <c r="AQ45"/>
    </row>
    <row r="46" spans="1:43" x14ac:dyDescent="0.2">
      <c r="A46" t="s">
        <v>128</v>
      </c>
      <c r="B46" t="s">
        <v>173</v>
      </c>
      <c r="C46" t="s">
        <v>294</v>
      </c>
      <c r="D46" t="s">
        <v>343</v>
      </c>
      <c r="E46" s="3">
        <v>24.077777777777779</v>
      </c>
      <c r="F46" s="3">
        <f>Table3[[#This Row],[Total Hours Nurse Staffing]]/Table3[[#This Row],[MDS Census]]</f>
        <v>4.4600830641439773</v>
      </c>
      <c r="G46" s="3">
        <f>Table3[[#This Row],[Total Direct Care Staff Hours]]/Table3[[#This Row],[MDS Census]]</f>
        <v>3.988578680203045</v>
      </c>
      <c r="H46" s="3">
        <f>Table3[[#This Row],[Total RN Hours (w/ Admin, DON)]]/Table3[[#This Row],[MDS Census]]</f>
        <v>1.2683433317951083</v>
      </c>
      <c r="I46" s="3">
        <f>Table3[[#This Row],[RN Hours (excl. Admin, DON)]]/Table3[[#This Row],[MDS Census]]</f>
        <v>0.79683894785417619</v>
      </c>
      <c r="J46" s="3">
        <f t="shared" si="1"/>
        <v>107.38888888888889</v>
      </c>
      <c r="K46" s="3">
        <f>SUM(Table3[[#This Row],[RN Hours (excl. Admin, DON)]], Table3[[#This Row],[LPN Hours (excl. Admin)]], Table3[[#This Row],[CNA Hours]], Table3[[#This Row],[NA TR Hours]], Table3[[#This Row],[Med Aide/Tech Hours]])</f>
        <v>96.036111111111097</v>
      </c>
      <c r="L46" s="3">
        <f>SUM(Table3[[#This Row],[RN Hours (excl. Admin, DON)]:[RN DON Hours]])</f>
        <v>30.538888888888888</v>
      </c>
      <c r="M46" s="3">
        <v>19.18611111111111</v>
      </c>
      <c r="N46" s="3">
        <v>5.8166666666666664</v>
      </c>
      <c r="O46" s="3">
        <v>5.5361111111111114</v>
      </c>
      <c r="P46" s="3">
        <f>SUM(Table3[[#This Row],[LPN Hours (excl. Admin)]:[LPN Admin Hours]])</f>
        <v>8.0222222222222221</v>
      </c>
      <c r="Q46" s="3">
        <v>8.0222222222222221</v>
      </c>
      <c r="R46" s="3">
        <v>0</v>
      </c>
      <c r="S46" s="3">
        <f>SUM(Table3[[#This Row],[CNA Hours]], Table3[[#This Row],[NA TR Hours]], Table3[[#This Row],[Med Aide/Tech Hours]])</f>
        <v>68.827777777777769</v>
      </c>
      <c r="T46" s="3">
        <v>67.047222222222217</v>
      </c>
      <c r="U46" s="3">
        <v>0</v>
      </c>
      <c r="V46" s="3">
        <v>1.7805555555555554</v>
      </c>
      <c r="W46" s="3">
        <f>SUM(Table3[[#This Row],[RN Hours Contract]:[Med Aide Hours Contract]])</f>
        <v>17.705555555555556</v>
      </c>
      <c r="X46" s="3">
        <v>2.8638888888888889</v>
      </c>
      <c r="Y46" s="3">
        <v>0</v>
      </c>
      <c r="Z46" s="3">
        <v>0</v>
      </c>
      <c r="AA46" s="3">
        <v>3.3194444444444446</v>
      </c>
      <c r="AB46" s="3">
        <v>0</v>
      </c>
      <c r="AC46" s="3">
        <v>9.7416666666666671</v>
      </c>
      <c r="AD46" s="3">
        <v>0</v>
      </c>
      <c r="AE46" s="3">
        <v>1.7805555555555554</v>
      </c>
      <c r="AF46" t="s">
        <v>44</v>
      </c>
      <c r="AG46" s="13">
        <v>10</v>
      </c>
      <c r="AQ46"/>
    </row>
    <row r="47" spans="1:43" x14ac:dyDescent="0.2">
      <c r="A47" t="s">
        <v>128</v>
      </c>
      <c r="B47" t="s">
        <v>174</v>
      </c>
      <c r="C47" t="s">
        <v>261</v>
      </c>
      <c r="D47" t="s">
        <v>327</v>
      </c>
      <c r="E47" s="3">
        <v>40.06666666666667</v>
      </c>
      <c r="F47" s="3">
        <f>Table3[[#This Row],[Total Hours Nurse Staffing]]/Table3[[#This Row],[MDS Census]]</f>
        <v>4.3972545757071542</v>
      </c>
      <c r="G47" s="3">
        <f>Table3[[#This Row],[Total Direct Care Staff Hours]]/Table3[[#This Row],[MDS Census]]</f>
        <v>4.0176788685524123</v>
      </c>
      <c r="H47" s="3">
        <f>Table3[[#This Row],[Total RN Hours (w/ Admin, DON)]]/Table3[[#This Row],[MDS Census]]</f>
        <v>1.0456877426511371</v>
      </c>
      <c r="I47" s="3">
        <f>Table3[[#This Row],[RN Hours (excl. Admin, DON)]]/Table3[[#This Row],[MDS Census]]</f>
        <v>0.66611203549639486</v>
      </c>
      <c r="J47" s="3">
        <f t="shared" si="1"/>
        <v>176.18333333333334</v>
      </c>
      <c r="K47" s="3">
        <f>SUM(Table3[[#This Row],[RN Hours (excl. Admin, DON)]], Table3[[#This Row],[LPN Hours (excl. Admin)]], Table3[[#This Row],[CNA Hours]], Table3[[#This Row],[NA TR Hours]], Table3[[#This Row],[Med Aide/Tech Hours]])</f>
        <v>160.97499999999999</v>
      </c>
      <c r="L47" s="3">
        <f>SUM(Table3[[#This Row],[RN Hours (excl. Admin, DON)]:[RN DON Hours]])</f>
        <v>41.897222222222226</v>
      </c>
      <c r="M47" s="3">
        <v>26.68888888888889</v>
      </c>
      <c r="N47" s="3">
        <v>9.6083333333333325</v>
      </c>
      <c r="O47" s="3">
        <v>5.6</v>
      </c>
      <c r="P47" s="3">
        <f>SUM(Table3[[#This Row],[LPN Hours (excl. Admin)]:[LPN Admin Hours]])</f>
        <v>13.011111111111111</v>
      </c>
      <c r="Q47" s="3">
        <v>13.011111111111111</v>
      </c>
      <c r="R47" s="3">
        <v>0</v>
      </c>
      <c r="S47" s="3">
        <f>SUM(Table3[[#This Row],[CNA Hours]], Table3[[#This Row],[NA TR Hours]], Table3[[#This Row],[Med Aide/Tech Hours]])</f>
        <v>121.27500000000001</v>
      </c>
      <c r="T47" s="3">
        <v>99.516666666666666</v>
      </c>
      <c r="U47" s="3">
        <v>11.463888888888889</v>
      </c>
      <c r="V47" s="3">
        <v>10.294444444444444</v>
      </c>
      <c r="W47" s="3">
        <f>SUM(Table3[[#This Row],[RN Hours Contract]:[Med Aide Hours Contract]])</f>
        <v>0</v>
      </c>
      <c r="X47" s="3">
        <v>0</v>
      </c>
      <c r="Y47" s="3">
        <v>0</v>
      </c>
      <c r="Z47" s="3">
        <v>0</v>
      </c>
      <c r="AA47" s="3">
        <v>0</v>
      </c>
      <c r="AB47" s="3">
        <v>0</v>
      </c>
      <c r="AC47" s="3">
        <v>0</v>
      </c>
      <c r="AD47" s="3">
        <v>0</v>
      </c>
      <c r="AE47" s="3">
        <v>0</v>
      </c>
      <c r="AF47" t="s">
        <v>45</v>
      </c>
      <c r="AG47" s="13">
        <v>10</v>
      </c>
      <c r="AQ47"/>
    </row>
    <row r="48" spans="1:43" x14ac:dyDescent="0.2">
      <c r="A48" t="s">
        <v>128</v>
      </c>
      <c r="B48" t="s">
        <v>175</v>
      </c>
      <c r="C48" t="s">
        <v>295</v>
      </c>
      <c r="D48" t="s">
        <v>330</v>
      </c>
      <c r="E48" s="3">
        <v>13.9</v>
      </c>
      <c r="F48" s="3">
        <f>Table3[[#This Row],[Total Hours Nurse Staffing]]/Table3[[#This Row],[MDS Census]]</f>
        <v>6.5047961630695434</v>
      </c>
      <c r="G48" s="3">
        <f>Table3[[#This Row],[Total Direct Care Staff Hours]]/Table3[[#This Row],[MDS Census]]</f>
        <v>6.0979216626698625</v>
      </c>
      <c r="H48" s="3">
        <f>Table3[[#This Row],[Total RN Hours (w/ Admin, DON)]]/Table3[[#This Row],[MDS Census]]</f>
        <v>1.4152677857713829</v>
      </c>
      <c r="I48" s="3">
        <f>Table3[[#This Row],[RN Hours (excl. Admin, DON)]]/Table3[[#This Row],[MDS Census]]</f>
        <v>1.0083932853717026</v>
      </c>
      <c r="J48" s="3">
        <f t="shared" si="1"/>
        <v>90.416666666666657</v>
      </c>
      <c r="K48" s="3">
        <f>SUM(Table3[[#This Row],[RN Hours (excl. Admin, DON)]], Table3[[#This Row],[LPN Hours (excl. Admin)]], Table3[[#This Row],[CNA Hours]], Table3[[#This Row],[NA TR Hours]], Table3[[#This Row],[Med Aide/Tech Hours]])</f>
        <v>84.761111111111092</v>
      </c>
      <c r="L48" s="3">
        <f>SUM(Table3[[#This Row],[RN Hours (excl. Admin, DON)]:[RN DON Hours]])</f>
        <v>19.672222222222224</v>
      </c>
      <c r="M48" s="3">
        <v>14.016666666666667</v>
      </c>
      <c r="N48" s="3">
        <v>0</v>
      </c>
      <c r="O48" s="3">
        <v>5.6555555555555559</v>
      </c>
      <c r="P48" s="3">
        <f>SUM(Table3[[#This Row],[LPN Hours (excl. Admin)]:[LPN Admin Hours]])</f>
        <v>10.919444444444444</v>
      </c>
      <c r="Q48" s="3">
        <v>10.919444444444444</v>
      </c>
      <c r="R48" s="3">
        <v>0</v>
      </c>
      <c r="S48" s="3">
        <f>SUM(Table3[[#This Row],[CNA Hours]], Table3[[#This Row],[NA TR Hours]], Table3[[#This Row],[Med Aide/Tech Hours]])</f>
        <v>59.824999999999996</v>
      </c>
      <c r="T48" s="3">
        <v>50.908333333333331</v>
      </c>
      <c r="U48" s="3">
        <v>7.0277777777777777</v>
      </c>
      <c r="V48" s="3">
        <v>1.8888888888888888</v>
      </c>
      <c r="W48" s="3">
        <f>SUM(Table3[[#This Row],[RN Hours Contract]:[Med Aide Hours Contract]])</f>
        <v>0</v>
      </c>
      <c r="X48" s="3">
        <v>0</v>
      </c>
      <c r="Y48" s="3">
        <v>0</v>
      </c>
      <c r="Z48" s="3">
        <v>0</v>
      </c>
      <c r="AA48" s="3">
        <v>0</v>
      </c>
      <c r="AB48" s="3">
        <v>0</v>
      </c>
      <c r="AC48" s="3">
        <v>0</v>
      </c>
      <c r="AD48" s="3">
        <v>0</v>
      </c>
      <c r="AE48" s="3">
        <v>0</v>
      </c>
      <c r="AF48" t="s">
        <v>46</v>
      </c>
      <c r="AG48" s="13">
        <v>10</v>
      </c>
      <c r="AQ48"/>
    </row>
    <row r="49" spans="1:43" x14ac:dyDescent="0.2">
      <c r="A49" t="s">
        <v>128</v>
      </c>
      <c r="B49" t="s">
        <v>176</v>
      </c>
      <c r="C49" t="s">
        <v>296</v>
      </c>
      <c r="D49" t="s">
        <v>333</v>
      </c>
      <c r="E49" s="3">
        <v>22.833333333333332</v>
      </c>
      <c r="F49" s="3">
        <f>Table3[[#This Row],[Total Hours Nurse Staffing]]/Table3[[#This Row],[MDS Census]]</f>
        <v>5.210929440389295</v>
      </c>
      <c r="G49" s="3">
        <f>Table3[[#This Row],[Total Direct Care Staff Hours]]/Table3[[#This Row],[MDS Census]]</f>
        <v>4.9656739659367402</v>
      </c>
      <c r="H49" s="3">
        <f>Table3[[#This Row],[Total RN Hours (w/ Admin, DON)]]/Table3[[#This Row],[MDS Census]]</f>
        <v>1.145124087591241</v>
      </c>
      <c r="I49" s="3">
        <f>Table3[[#This Row],[RN Hours (excl. Admin, DON)]]/Table3[[#This Row],[MDS Census]]</f>
        <v>0.89986861313868616</v>
      </c>
      <c r="J49" s="3">
        <f t="shared" si="1"/>
        <v>118.98288888888889</v>
      </c>
      <c r="K49" s="3">
        <f>SUM(Table3[[#This Row],[RN Hours (excl. Admin, DON)]], Table3[[#This Row],[LPN Hours (excl. Admin)]], Table3[[#This Row],[CNA Hours]], Table3[[#This Row],[NA TR Hours]], Table3[[#This Row],[Med Aide/Tech Hours]])</f>
        <v>113.3828888888889</v>
      </c>
      <c r="L49" s="3">
        <f>SUM(Table3[[#This Row],[RN Hours (excl. Admin, DON)]:[RN DON Hours]])</f>
        <v>26.146999999999998</v>
      </c>
      <c r="M49" s="3">
        <v>20.547000000000001</v>
      </c>
      <c r="N49" s="3">
        <v>0</v>
      </c>
      <c r="O49" s="3">
        <v>5.6</v>
      </c>
      <c r="P49" s="3">
        <f>SUM(Table3[[#This Row],[LPN Hours (excl. Admin)]:[LPN Admin Hours]])</f>
        <v>23.582000000000001</v>
      </c>
      <c r="Q49" s="3">
        <v>23.582000000000001</v>
      </c>
      <c r="R49" s="3">
        <v>0</v>
      </c>
      <c r="S49" s="3">
        <f>SUM(Table3[[#This Row],[CNA Hours]], Table3[[#This Row],[NA TR Hours]], Table3[[#This Row],[Med Aide/Tech Hours]])</f>
        <v>69.253888888888895</v>
      </c>
      <c r="T49" s="3">
        <v>69.253888888888895</v>
      </c>
      <c r="U49" s="3">
        <v>0</v>
      </c>
      <c r="V49" s="3">
        <v>0</v>
      </c>
      <c r="W49" s="3">
        <f>SUM(Table3[[#This Row],[RN Hours Contract]:[Med Aide Hours Contract]])</f>
        <v>0</v>
      </c>
      <c r="X49" s="3">
        <v>0</v>
      </c>
      <c r="Y49" s="3">
        <v>0</v>
      </c>
      <c r="Z49" s="3">
        <v>0</v>
      </c>
      <c r="AA49" s="3">
        <v>0</v>
      </c>
      <c r="AB49" s="3">
        <v>0</v>
      </c>
      <c r="AC49" s="3">
        <v>0</v>
      </c>
      <c r="AD49" s="3">
        <v>0</v>
      </c>
      <c r="AE49" s="3">
        <v>0</v>
      </c>
      <c r="AF49" t="s">
        <v>47</v>
      </c>
      <c r="AG49" s="13">
        <v>10</v>
      </c>
      <c r="AQ49"/>
    </row>
    <row r="50" spans="1:43" x14ac:dyDescent="0.2">
      <c r="A50" t="s">
        <v>128</v>
      </c>
      <c r="B50" t="s">
        <v>177</v>
      </c>
      <c r="C50" t="s">
        <v>297</v>
      </c>
      <c r="D50" t="s">
        <v>321</v>
      </c>
      <c r="E50" s="3">
        <v>116.47777777777777</v>
      </c>
      <c r="F50" s="3">
        <f>Table3[[#This Row],[Total Hours Nurse Staffing]]/Table3[[#This Row],[MDS Census]]</f>
        <v>5.3326118477535047</v>
      </c>
      <c r="G50" s="3">
        <f>Table3[[#This Row],[Total Direct Care Staff Hours]]/Table3[[#This Row],[MDS Census]]</f>
        <v>4.8962863684059901</v>
      </c>
      <c r="H50" s="3">
        <f>Table3[[#This Row],[Total RN Hours (w/ Admin, DON)]]/Table3[[#This Row],[MDS Census]]</f>
        <v>0.90187923304397577</v>
      </c>
      <c r="I50" s="3">
        <f>Table3[[#This Row],[RN Hours (excl. Admin, DON)]]/Table3[[#This Row],[MDS Census]]</f>
        <v>0.4655537536964609</v>
      </c>
      <c r="J50" s="3">
        <f t="shared" si="1"/>
        <v>621.13077777777767</v>
      </c>
      <c r="K50" s="3">
        <f>SUM(Table3[[#This Row],[RN Hours (excl. Admin, DON)]], Table3[[#This Row],[LPN Hours (excl. Admin)]], Table3[[#This Row],[CNA Hours]], Table3[[#This Row],[NA TR Hours]], Table3[[#This Row],[Med Aide/Tech Hours]])</f>
        <v>570.30855555555547</v>
      </c>
      <c r="L50" s="3">
        <f>SUM(Table3[[#This Row],[RN Hours (excl. Admin, DON)]:[RN DON Hours]])</f>
        <v>105.04888888888887</v>
      </c>
      <c r="M50" s="3">
        <v>54.226666666666659</v>
      </c>
      <c r="N50" s="3">
        <v>45.31111111111111</v>
      </c>
      <c r="O50" s="3">
        <v>5.5111111111111111</v>
      </c>
      <c r="P50" s="3">
        <f>SUM(Table3[[#This Row],[LPN Hours (excl. Admin)]:[LPN Admin Hours]])</f>
        <v>95.943222222222218</v>
      </c>
      <c r="Q50" s="3">
        <v>95.943222222222218</v>
      </c>
      <c r="R50" s="3">
        <v>0</v>
      </c>
      <c r="S50" s="3">
        <f>SUM(Table3[[#This Row],[CNA Hours]], Table3[[#This Row],[NA TR Hours]], Table3[[#This Row],[Med Aide/Tech Hours]])</f>
        <v>420.13866666666661</v>
      </c>
      <c r="T50" s="3">
        <v>319.87599999999998</v>
      </c>
      <c r="U50" s="3">
        <v>36.433111111111096</v>
      </c>
      <c r="V50" s="3">
        <v>63.829555555555537</v>
      </c>
      <c r="W50" s="3">
        <f>SUM(Table3[[#This Row],[RN Hours Contract]:[Med Aide Hours Contract]])</f>
        <v>62.833888888888893</v>
      </c>
      <c r="X50" s="3">
        <v>4.5651111111111113</v>
      </c>
      <c r="Y50" s="3">
        <v>0</v>
      </c>
      <c r="Z50" s="3">
        <v>0</v>
      </c>
      <c r="AA50" s="3">
        <v>7.0118888888888895</v>
      </c>
      <c r="AB50" s="3">
        <v>0</v>
      </c>
      <c r="AC50" s="3">
        <v>36.972666666666669</v>
      </c>
      <c r="AD50" s="3">
        <v>0</v>
      </c>
      <c r="AE50" s="3">
        <v>14.284222222222224</v>
      </c>
      <c r="AF50" t="s">
        <v>48</v>
      </c>
      <c r="AG50" s="13">
        <v>10</v>
      </c>
      <c r="AQ50"/>
    </row>
    <row r="51" spans="1:43" x14ac:dyDescent="0.2">
      <c r="A51" t="s">
        <v>128</v>
      </c>
      <c r="B51" t="s">
        <v>178</v>
      </c>
      <c r="C51" t="s">
        <v>281</v>
      </c>
      <c r="D51" t="s">
        <v>335</v>
      </c>
      <c r="E51" s="3">
        <v>80.433333333333337</v>
      </c>
      <c r="F51" s="3">
        <f>Table3[[#This Row],[Total Hours Nurse Staffing]]/Table3[[#This Row],[MDS Census]]</f>
        <v>4.9162066583782282</v>
      </c>
      <c r="G51" s="3">
        <f>Table3[[#This Row],[Total Direct Care Staff Hours]]/Table3[[#This Row],[MDS Census]]</f>
        <v>4.4448777455449644</v>
      </c>
      <c r="H51" s="3">
        <f>Table3[[#This Row],[Total RN Hours (w/ Admin, DON)]]/Table3[[#This Row],[MDS Census]]</f>
        <v>0.59238292581848317</v>
      </c>
      <c r="I51" s="3">
        <f>Table3[[#This Row],[RN Hours (excl. Admin, DON)]]/Table3[[#This Row],[MDS Census]]</f>
        <v>0.28663903854123496</v>
      </c>
      <c r="J51" s="3">
        <f t="shared" si="1"/>
        <v>395.42688888888881</v>
      </c>
      <c r="K51" s="3">
        <f>SUM(Table3[[#This Row],[RN Hours (excl. Admin, DON)]], Table3[[#This Row],[LPN Hours (excl. Admin)]], Table3[[#This Row],[CNA Hours]], Table3[[#This Row],[NA TR Hours]], Table3[[#This Row],[Med Aide/Tech Hours]])</f>
        <v>357.51633333333331</v>
      </c>
      <c r="L51" s="3">
        <f>SUM(Table3[[#This Row],[RN Hours (excl. Admin, DON)]:[RN DON Hours]])</f>
        <v>47.647333333333329</v>
      </c>
      <c r="M51" s="3">
        <v>23.055333333333333</v>
      </c>
      <c r="N51" s="3">
        <v>22.903111111111109</v>
      </c>
      <c r="O51" s="3">
        <v>1.6888888888888889</v>
      </c>
      <c r="P51" s="3">
        <f>SUM(Table3[[#This Row],[LPN Hours (excl. Admin)]:[LPN Admin Hours]])</f>
        <v>88.083444444444453</v>
      </c>
      <c r="Q51" s="3">
        <v>74.764888888888891</v>
      </c>
      <c r="R51" s="3">
        <v>13.318555555555557</v>
      </c>
      <c r="S51" s="3">
        <f>SUM(Table3[[#This Row],[CNA Hours]], Table3[[#This Row],[NA TR Hours]], Table3[[#This Row],[Med Aide/Tech Hours]])</f>
        <v>259.69611111111107</v>
      </c>
      <c r="T51" s="3">
        <v>226.26299999999998</v>
      </c>
      <c r="U51" s="3">
        <v>15.469444444444445</v>
      </c>
      <c r="V51" s="3">
        <v>17.963666666666665</v>
      </c>
      <c r="W51" s="3">
        <f>SUM(Table3[[#This Row],[RN Hours Contract]:[Med Aide Hours Contract]])</f>
        <v>130.57466666666667</v>
      </c>
      <c r="X51" s="3">
        <v>1.9805555555555556</v>
      </c>
      <c r="Y51" s="3">
        <v>1.9583333333333333</v>
      </c>
      <c r="Z51" s="3">
        <v>0</v>
      </c>
      <c r="AA51" s="3">
        <v>28.231444444444442</v>
      </c>
      <c r="AB51" s="3">
        <v>0</v>
      </c>
      <c r="AC51" s="3">
        <v>91.90066666666668</v>
      </c>
      <c r="AD51" s="3">
        <v>0</v>
      </c>
      <c r="AE51" s="3">
        <v>6.5036666666666658</v>
      </c>
      <c r="AF51" t="s">
        <v>49</v>
      </c>
      <c r="AG51" s="13">
        <v>10</v>
      </c>
      <c r="AQ51"/>
    </row>
    <row r="52" spans="1:43" x14ac:dyDescent="0.2">
      <c r="A52" t="s">
        <v>128</v>
      </c>
      <c r="B52" t="s">
        <v>179</v>
      </c>
      <c r="C52" t="s">
        <v>267</v>
      </c>
      <c r="D52" t="s">
        <v>331</v>
      </c>
      <c r="E52" s="3">
        <v>67.522222222222226</v>
      </c>
      <c r="F52" s="3">
        <f>Table3[[#This Row],[Total Hours Nurse Staffing]]/Table3[[#This Row],[MDS Census]]</f>
        <v>5.1314382096429156</v>
      </c>
      <c r="G52" s="3">
        <f>Table3[[#This Row],[Total Direct Care Staff Hours]]/Table3[[#This Row],[MDS Census]]</f>
        <v>4.8155751193022862</v>
      </c>
      <c r="H52" s="3">
        <f>Table3[[#This Row],[Total RN Hours (w/ Admin, DON)]]/Table3[[#This Row],[MDS Census]]</f>
        <v>0.72794964620700997</v>
      </c>
      <c r="I52" s="3">
        <f>Table3[[#This Row],[RN Hours (excl. Admin, DON)]]/Table3[[#This Row],[MDS Census]]</f>
        <v>0.41208655586638143</v>
      </c>
      <c r="J52" s="3">
        <f t="shared" si="1"/>
        <v>346.48611111111109</v>
      </c>
      <c r="K52" s="3">
        <f>SUM(Table3[[#This Row],[RN Hours (excl. Admin, DON)]], Table3[[#This Row],[LPN Hours (excl. Admin)]], Table3[[#This Row],[CNA Hours]], Table3[[#This Row],[NA TR Hours]], Table3[[#This Row],[Med Aide/Tech Hours]])</f>
        <v>325.1583333333333</v>
      </c>
      <c r="L52" s="3">
        <f>SUM(Table3[[#This Row],[RN Hours (excl. Admin, DON)]:[RN DON Hours]])</f>
        <v>49.152777777777779</v>
      </c>
      <c r="M52" s="3">
        <v>27.824999999999999</v>
      </c>
      <c r="N52" s="3">
        <v>15.638888888888889</v>
      </c>
      <c r="O52" s="3">
        <v>5.6888888888888891</v>
      </c>
      <c r="P52" s="3">
        <f>SUM(Table3[[#This Row],[LPN Hours (excl. Admin)]:[LPN Admin Hours]])</f>
        <v>65.194444444444443</v>
      </c>
      <c r="Q52" s="3">
        <v>65.194444444444443</v>
      </c>
      <c r="R52" s="3">
        <v>0</v>
      </c>
      <c r="S52" s="3">
        <f>SUM(Table3[[#This Row],[CNA Hours]], Table3[[#This Row],[NA TR Hours]], Table3[[#This Row],[Med Aide/Tech Hours]])</f>
        <v>232.13888888888889</v>
      </c>
      <c r="T52" s="3">
        <v>182.48333333333332</v>
      </c>
      <c r="U52" s="3">
        <v>15.05</v>
      </c>
      <c r="V52" s="3">
        <v>34.605555555555554</v>
      </c>
      <c r="W52" s="3">
        <f>SUM(Table3[[#This Row],[RN Hours Contract]:[Med Aide Hours Contract]])</f>
        <v>0</v>
      </c>
      <c r="X52" s="3">
        <v>0</v>
      </c>
      <c r="Y52" s="3">
        <v>0</v>
      </c>
      <c r="Z52" s="3">
        <v>0</v>
      </c>
      <c r="AA52" s="3">
        <v>0</v>
      </c>
      <c r="AB52" s="3">
        <v>0</v>
      </c>
      <c r="AC52" s="3">
        <v>0</v>
      </c>
      <c r="AD52" s="3">
        <v>0</v>
      </c>
      <c r="AE52" s="3">
        <v>0</v>
      </c>
      <c r="AF52" t="s">
        <v>50</v>
      </c>
      <c r="AG52" s="13">
        <v>10</v>
      </c>
      <c r="AQ52"/>
    </row>
    <row r="53" spans="1:43" x14ac:dyDescent="0.2">
      <c r="A53" t="s">
        <v>128</v>
      </c>
      <c r="B53" t="s">
        <v>180</v>
      </c>
      <c r="C53" t="s">
        <v>298</v>
      </c>
      <c r="D53" t="s">
        <v>344</v>
      </c>
      <c r="E53" s="3">
        <v>40.388888888888886</v>
      </c>
      <c r="F53" s="3">
        <f>Table3[[#This Row],[Total Hours Nurse Staffing]]/Table3[[#This Row],[MDS Census]]</f>
        <v>5.000654745529574</v>
      </c>
      <c r="G53" s="3">
        <f>Table3[[#This Row],[Total Direct Care Staff Hours]]/Table3[[#This Row],[MDS Census]]</f>
        <v>4.4517248968363141</v>
      </c>
      <c r="H53" s="3">
        <f>Table3[[#This Row],[Total RN Hours (w/ Admin, DON)]]/Table3[[#This Row],[MDS Census]]</f>
        <v>0.42267675378266856</v>
      </c>
      <c r="I53" s="3">
        <f>Table3[[#This Row],[RN Hours (excl. Admin, DON)]]/Table3[[#This Row],[MDS Census]]</f>
        <v>0.27943328748280605</v>
      </c>
      <c r="J53" s="3">
        <f t="shared" si="1"/>
        <v>201.97088888888888</v>
      </c>
      <c r="K53" s="3">
        <f>SUM(Table3[[#This Row],[RN Hours (excl. Admin, DON)]], Table3[[#This Row],[LPN Hours (excl. Admin)]], Table3[[#This Row],[CNA Hours]], Table3[[#This Row],[NA TR Hours]], Table3[[#This Row],[Med Aide/Tech Hours]])</f>
        <v>179.80022222222223</v>
      </c>
      <c r="L53" s="3">
        <f>SUM(Table3[[#This Row],[RN Hours (excl. Admin, DON)]:[RN DON Hours]])</f>
        <v>17.071444444444445</v>
      </c>
      <c r="M53" s="3">
        <v>11.286</v>
      </c>
      <c r="N53" s="3">
        <v>5.7854444444444448</v>
      </c>
      <c r="O53" s="3">
        <v>0</v>
      </c>
      <c r="P53" s="3">
        <f>SUM(Table3[[#This Row],[LPN Hours (excl. Admin)]:[LPN Admin Hours]])</f>
        <v>64.611777777777775</v>
      </c>
      <c r="Q53" s="3">
        <v>48.226555555555557</v>
      </c>
      <c r="R53" s="3">
        <v>16.385222222222225</v>
      </c>
      <c r="S53" s="3">
        <f>SUM(Table3[[#This Row],[CNA Hours]], Table3[[#This Row],[NA TR Hours]], Table3[[#This Row],[Med Aide/Tech Hours]])</f>
        <v>120.28766666666667</v>
      </c>
      <c r="T53" s="3">
        <v>105.4571111111111</v>
      </c>
      <c r="U53" s="3">
        <v>4.0365555555555579</v>
      </c>
      <c r="V53" s="3">
        <v>10.794000000000004</v>
      </c>
      <c r="W53" s="3">
        <f>SUM(Table3[[#This Row],[RN Hours Contract]:[Med Aide Hours Contract]])</f>
        <v>0.81800000000000006</v>
      </c>
      <c r="X53" s="3">
        <v>0</v>
      </c>
      <c r="Y53" s="3">
        <v>0</v>
      </c>
      <c r="Z53" s="3">
        <v>0</v>
      </c>
      <c r="AA53" s="3">
        <v>0</v>
      </c>
      <c r="AB53" s="3">
        <v>0</v>
      </c>
      <c r="AC53" s="3">
        <v>0.81800000000000006</v>
      </c>
      <c r="AD53" s="3">
        <v>0</v>
      </c>
      <c r="AE53" s="3">
        <v>0</v>
      </c>
      <c r="AF53" t="s">
        <v>51</v>
      </c>
      <c r="AG53" s="13">
        <v>10</v>
      </c>
      <c r="AQ53"/>
    </row>
    <row r="54" spans="1:43" x14ac:dyDescent="0.2">
      <c r="A54" t="s">
        <v>128</v>
      </c>
      <c r="B54" t="s">
        <v>181</v>
      </c>
      <c r="C54" t="s">
        <v>282</v>
      </c>
      <c r="D54" t="s">
        <v>336</v>
      </c>
      <c r="E54" s="3">
        <v>23.511111111111113</v>
      </c>
      <c r="F54" s="3">
        <f>Table3[[#This Row],[Total Hours Nurse Staffing]]/Table3[[#This Row],[MDS Census]]</f>
        <v>4.1007797731568996</v>
      </c>
      <c r="G54" s="3">
        <f>Table3[[#This Row],[Total Direct Care Staff Hours]]/Table3[[#This Row],[MDS Census]]</f>
        <v>3.6530009451795835</v>
      </c>
      <c r="H54" s="3">
        <f>Table3[[#This Row],[Total RN Hours (w/ Admin, DON)]]/Table3[[#This Row],[MDS Census]]</f>
        <v>1.254962192816635</v>
      </c>
      <c r="I54" s="3">
        <f>Table3[[#This Row],[RN Hours (excl. Admin, DON)]]/Table3[[#This Row],[MDS Census]]</f>
        <v>0.80718336483931941</v>
      </c>
      <c r="J54" s="3">
        <f t="shared" si="1"/>
        <v>96.413888888888891</v>
      </c>
      <c r="K54" s="3">
        <f>SUM(Table3[[#This Row],[RN Hours (excl. Admin, DON)]], Table3[[#This Row],[LPN Hours (excl. Admin)]], Table3[[#This Row],[CNA Hours]], Table3[[#This Row],[NA TR Hours]], Table3[[#This Row],[Med Aide/Tech Hours]])</f>
        <v>85.886111111111106</v>
      </c>
      <c r="L54" s="3">
        <f>SUM(Table3[[#This Row],[RN Hours (excl. Admin, DON)]:[RN DON Hours]])</f>
        <v>29.505555555555553</v>
      </c>
      <c r="M54" s="3">
        <v>18.977777777777778</v>
      </c>
      <c r="N54" s="3">
        <v>5.0166666666666666</v>
      </c>
      <c r="O54" s="3">
        <v>5.5111111111111111</v>
      </c>
      <c r="P54" s="3">
        <f>SUM(Table3[[#This Row],[LPN Hours (excl. Admin)]:[LPN Admin Hours]])</f>
        <v>5.6833333333333336</v>
      </c>
      <c r="Q54" s="3">
        <v>5.6833333333333336</v>
      </c>
      <c r="R54" s="3">
        <v>0</v>
      </c>
      <c r="S54" s="3">
        <f>SUM(Table3[[#This Row],[CNA Hours]], Table3[[#This Row],[NA TR Hours]], Table3[[#This Row],[Med Aide/Tech Hours]])</f>
        <v>61.225000000000001</v>
      </c>
      <c r="T54" s="3">
        <v>53.761111111111113</v>
      </c>
      <c r="U54" s="3">
        <v>0</v>
      </c>
      <c r="V54" s="3">
        <v>7.4638888888888886</v>
      </c>
      <c r="W54" s="3">
        <f>SUM(Table3[[#This Row],[RN Hours Contract]:[Med Aide Hours Contract]])</f>
        <v>4.2555555555555555</v>
      </c>
      <c r="X54" s="3">
        <v>0</v>
      </c>
      <c r="Y54" s="3">
        <v>0</v>
      </c>
      <c r="Z54" s="3">
        <v>0</v>
      </c>
      <c r="AA54" s="3">
        <v>0</v>
      </c>
      <c r="AB54" s="3">
        <v>0</v>
      </c>
      <c r="AC54" s="3">
        <v>4.2555555555555555</v>
      </c>
      <c r="AD54" s="3">
        <v>0</v>
      </c>
      <c r="AE54" s="3">
        <v>0</v>
      </c>
      <c r="AF54" t="s">
        <v>52</v>
      </c>
      <c r="AG54" s="13">
        <v>10</v>
      </c>
      <c r="AQ54"/>
    </row>
    <row r="55" spans="1:43" x14ac:dyDescent="0.2">
      <c r="A55" t="s">
        <v>128</v>
      </c>
      <c r="B55" t="s">
        <v>182</v>
      </c>
      <c r="C55" t="s">
        <v>299</v>
      </c>
      <c r="D55" t="s">
        <v>344</v>
      </c>
      <c r="E55" s="3">
        <v>41.966666666666669</v>
      </c>
      <c r="F55" s="3">
        <f>Table3[[#This Row],[Total Hours Nurse Staffing]]/Table3[[#This Row],[MDS Census]]</f>
        <v>4.9631983055334921</v>
      </c>
      <c r="G55" s="3">
        <f>Table3[[#This Row],[Total Direct Care Staff Hours]]/Table3[[#This Row],[MDS Census]]</f>
        <v>4.3640455387873969</v>
      </c>
      <c r="H55" s="3">
        <f>Table3[[#This Row],[Total RN Hours (w/ Admin, DON)]]/Table3[[#This Row],[MDS Census]]</f>
        <v>1.035875033095049</v>
      </c>
      <c r="I55" s="3">
        <f>Table3[[#This Row],[RN Hours (excl. Admin, DON)]]/Table3[[#This Row],[MDS Census]]</f>
        <v>0.54315594387079691</v>
      </c>
      <c r="J55" s="3">
        <f t="shared" si="1"/>
        <v>208.28888888888889</v>
      </c>
      <c r="K55" s="3">
        <f>SUM(Table3[[#This Row],[RN Hours (excl. Admin, DON)]], Table3[[#This Row],[LPN Hours (excl. Admin)]], Table3[[#This Row],[CNA Hours]], Table3[[#This Row],[NA TR Hours]], Table3[[#This Row],[Med Aide/Tech Hours]])</f>
        <v>183.14444444444445</v>
      </c>
      <c r="L55" s="3">
        <f>SUM(Table3[[#This Row],[RN Hours (excl. Admin, DON)]:[RN DON Hours]])</f>
        <v>43.472222222222221</v>
      </c>
      <c r="M55" s="3">
        <v>22.794444444444444</v>
      </c>
      <c r="N55" s="3">
        <v>15.202777777777778</v>
      </c>
      <c r="O55" s="3">
        <v>5.4749999999999996</v>
      </c>
      <c r="P55" s="3">
        <f>SUM(Table3[[#This Row],[LPN Hours (excl. Admin)]:[LPN Admin Hours]])</f>
        <v>50.972222222222221</v>
      </c>
      <c r="Q55" s="3">
        <v>46.505555555555553</v>
      </c>
      <c r="R55" s="3">
        <v>4.4666666666666668</v>
      </c>
      <c r="S55" s="3">
        <f>SUM(Table3[[#This Row],[CNA Hours]], Table3[[#This Row],[NA TR Hours]], Table3[[#This Row],[Med Aide/Tech Hours]])</f>
        <v>113.84444444444445</v>
      </c>
      <c r="T55" s="3">
        <v>96.891666666666666</v>
      </c>
      <c r="U55" s="3">
        <v>15.061111111111112</v>
      </c>
      <c r="V55" s="3">
        <v>1.8916666666666666</v>
      </c>
      <c r="W55" s="3">
        <f>SUM(Table3[[#This Row],[RN Hours Contract]:[Med Aide Hours Contract]])</f>
        <v>11.972222222222221</v>
      </c>
      <c r="X55" s="3">
        <v>0.35</v>
      </c>
      <c r="Y55" s="3">
        <v>0</v>
      </c>
      <c r="Z55" s="3">
        <v>0</v>
      </c>
      <c r="AA55" s="3">
        <v>3.0444444444444443</v>
      </c>
      <c r="AB55" s="3">
        <v>0</v>
      </c>
      <c r="AC55" s="3">
        <v>7.3888888888888893</v>
      </c>
      <c r="AD55" s="3">
        <v>0</v>
      </c>
      <c r="AE55" s="3">
        <v>1.1888888888888889</v>
      </c>
      <c r="AF55" t="s">
        <v>53</v>
      </c>
      <c r="AG55" s="13">
        <v>10</v>
      </c>
      <c r="AQ55"/>
    </row>
    <row r="56" spans="1:43" x14ac:dyDescent="0.2">
      <c r="A56" t="s">
        <v>128</v>
      </c>
      <c r="B56" t="s">
        <v>183</v>
      </c>
      <c r="C56" t="s">
        <v>300</v>
      </c>
      <c r="D56" t="s">
        <v>320</v>
      </c>
      <c r="E56" s="3">
        <v>15.466666666666667</v>
      </c>
      <c r="F56" s="3">
        <f>Table3[[#This Row],[Total Hours Nurse Staffing]]/Table3[[#This Row],[MDS Census]]</f>
        <v>5.5351077586206898</v>
      </c>
      <c r="G56" s="3">
        <f>Table3[[#This Row],[Total Direct Care Staff Hours]]/Table3[[#This Row],[MDS Census]]</f>
        <v>5.2292456896551718</v>
      </c>
      <c r="H56" s="3">
        <f>Table3[[#This Row],[Total RN Hours (w/ Admin, DON)]]/Table3[[#This Row],[MDS Census]]</f>
        <v>1.0980459770114943</v>
      </c>
      <c r="I56" s="3">
        <f>Table3[[#This Row],[RN Hours (excl. Admin, DON)]]/Table3[[#This Row],[MDS Census]]</f>
        <v>0.97400143678160922</v>
      </c>
      <c r="J56" s="3">
        <f t="shared" si="1"/>
        <v>85.609666666666669</v>
      </c>
      <c r="K56" s="3">
        <f>SUM(Table3[[#This Row],[RN Hours (excl. Admin, DON)]], Table3[[#This Row],[LPN Hours (excl. Admin)]], Table3[[#This Row],[CNA Hours]], Table3[[#This Row],[NA TR Hours]], Table3[[#This Row],[Med Aide/Tech Hours]])</f>
        <v>80.878999999999991</v>
      </c>
      <c r="L56" s="3">
        <f>SUM(Table3[[#This Row],[RN Hours (excl. Admin, DON)]:[RN DON Hours]])</f>
        <v>16.983111111111111</v>
      </c>
      <c r="M56" s="3">
        <v>15.064555555555556</v>
      </c>
      <c r="N56" s="3">
        <v>0.14077777777777775</v>
      </c>
      <c r="O56" s="3">
        <v>1.7777777777777777</v>
      </c>
      <c r="P56" s="3">
        <f>SUM(Table3[[#This Row],[LPN Hours (excl. Admin)]:[LPN Admin Hours]])</f>
        <v>20.371444444444442</v>
      </c>
      <c r="Q56" s="3">
        <v>17.559333333333331</v>
      </c>
      <c r="R56" s="3">
        <v>2.8121111111111117</v>
      </c>
      <c r="S56" s="3">
        <f>SUM(Table3[[#This Row],[CNA Hours]], Table3[[#This Row],[NA TR Hours]], Table3[[#This Row],[Med Aide/Tech Hours]])</f>
        <v>48.255111111111113</v>
      </c>
      <c r="T56" s="3">
        <v>45.604666666666667</v>
      </c>
      <c r="U56" s="3">
        <v>2.6504444444444442</v>
      </c>
      <c r="V56" s="3">
        <v>0</v>
      </c>
      <c r="W56" s="3">
        <f>SUM(Table3[[#This Row],[RN Hours Contract]:[Med Aide Hours Contract]])</f>
        <v>0</v>
      </c>
      <c r="X56" s="3">
        <v>0</v>
      </c>
      <c r="Y56" s="3">
        <v>0</v>
      </c>
      <c r="Z56" s="3">
        <v>0</v>
      </c>
      <c r="AA56" s="3">
        <v>0</v>
      </c>
      <c r="AB56" s="3">
        <v>0</v>
      </c>
      <c r="AC56" s="3">
        <v>0</v>
      </c>
      <c r="AD56" s="3">
        <v>0</v>
      </c>
      <c r="AE56" s="3">
        <v>0</v>
      </c>
      <c r="AF56" t="s">
        <v>54</v>
      </c>
      <c r="AG56" s="13">
        <v>10</v>
      </c>
      <c r="AQ56"/>
    </row>
    <row r="57" spans="1:43" x14ac:dyDescent="0.2">
      <c r="A57" t="s">
        <v>128</v>
      </c>
      <c r="B57" t="s">
        <v>184</v>
      </c>
      <c r="C57" t="s">
        <v>301</v>
      </c>
      <c r="D57" t="s">
        <v>335</v>
      </c>
      <c r="E57" s="3">
        <v>44.088888888888889</v>
      </c>
      <c r="F57" s="3">
        <f>Table3[[#This Row],[Total Hours Nurse Staffing]]/Table3[[#This Row],[MDS Census]]</f>
        <v>5.0048639112903217</v>
      </c>
      <c r="G57" s="3">
        <f>Table3[[#This Row],[Total Direct Care Staff Hours]]/Table3[[#This Row],[MDS Census]]</f>
        <v>4.5540549395161287</v>
      </c>
      <c r="H57" s="3">
        <f>Table3[[#This Row],[Total RN Hours (w/ Admin, DON)]]/Table3[[#This Row],[MDS Census]]</f>
        <v>0.44667338709677423</v>
      </c>
      <c r="I57" s="3">
        <f>Table3[[#This Row],[RN Hours (excl. Admin, DON)]]/Table3[[#This Row],[MDS Census]]</f>
        <v>0.21869203629032261</v>
      </c>
      <c r="J57" s="3">
        <f t="shared" si="1"/>
        <v>220.65888888888887</v>
      </c>
      <c r="K57" s="3">
        <f>SUM(Table3[[#This Row],[RN Hours (excl. Admin, DON)]], Table3[[#This Row],[LPN Hours (excl. Admin)]], Table3[[#This Row],[CNA Hours]], Table3[[#This Row],[NA TR Hours]], Table3[[#This Row],[Med Aide/Tech Hours]])</f>
        <v>200.78322222222221</v>
      </c>
      <c r="L57" s="3">
        <f>SUM(Table3[[#This Row],[RN Hours (excl. Admin, DON)]:[RN DON Hours]])</f>
        <v>19.693333333333335</v>
      </c>
      <c r="M57" s="3">
        <v>9.6418888888888894</v>
      </c>
      <c r="N57" s="3">
        <v>4.4347777777777786</v>
      </c>
      <c r="O57" s="3">
        <v>5.6166666666666663</v>
      </c>
      <c r="P57" s="3">
        <f>SUM(Table3[[#This Row],[LPN Hours (excl. Admin)]:[LPN Admin Hours]])</f>
        <v>53.165111111111102</v>
      </c>
      <c r="Q57" s="3">
        <v>43.340888888888884</v>
      </c>
      <c r="R57" s="3">
        <v>9.8242222222222217</v>
      </c>
      <c r="S57" s="3">
        <f>SUM(Table3[[#This Row],[CNA Hours]], Table3[[#This Row],[NA TR Hours]], Table3[[#This Row],[Med Aide/Tech Hours]])</f>
        <v>147.80044444444442</v>
      </c>
      <c r="T57" s="3">
        <v>124.43477777777777</v>
      </c>
      <c r="U57" s="3">
        <v>17.050222222222228</v>
      </c>
      <c r="V57" s="3">
        <v>6.315444444444446</v>
      </c>
      <c r="W57" s="3">
        <f>SUM(Table3[[#This Row],[RN Hours Contract]:[Med Aide Hours Contract]])</f>
        <v>7.3415555555555532</v>
      </c>
      <c r="X57" s="3">
        <v>0.89722222222222225</v>
      </c>
      <c r="Y57" s="3">
        <v>0</v>
      </c>
      <c r="Z57" s="3">
        <v>0</v>
      </c>
      <c r="AA57" s="3">
        <v>0.31855555555555559</v>
      </c>
      <c r="AB57" s="3">
        <v>0</v>
      </c>
      <c r="AC57" s="3">
        <v>6.1257777777777758</v>
      </c>
      <c r="AD57" s="3">
        <v>0</v>
      </c>
      <c r="AE57" s="3">
        <v>0</v>
      </c>
      <c r="AF57" t="s">
        <v>55</v>
      </c>
      <c r="AG57" s="13">
        <v>10</v>
      </c>
      <c r="AQ57"/>
    </row>
    <row r="58" spans="1:43" x14ac:dyDescent="0.2">
      <c r="A58" t="s">
        <v>128</v>
      </c>
      <c r="B58" t="s">
        <v>185</v>
      </c>
      <c r="C58" t="s">
        <v>263</v>
      </c>
      <c r="D58" t="s">
        <v>334</v>
      </c>
      <c r="E58" s="3">
        <v>56.944444444444443</v>
      </c>
      <c r="F58" s="3">
        <f>Table3[[#This Row],[Total Hours Nurse Staffing]]/Table3[[#This Row],[MDS Census]]</f>
        <v>4.9314634146341465</v>
      </c>
      <c r="G58" s="3">
        <f>Table3[[#This Row],[Total Direct Care Staff Hours]]/Table3[[#This Row],[MDS Census]]</f>
        <v>4.4538048780487802</v>
      </c>
      <c r="H58" s="3">
        <f>Table3[[#This Row],[Total RN Hours (w/ Admin, DON)]]/Table3[[#This Row],[MDS Census]]</f>
        <v>0.69951219512195129</v>
      </c>
      <c r="I58" s="3">
        <f>Table3[[#This Row],[RN Hours (excl. Admin, DON)]]/Table3[[#This Row],[MDS Census]]</f>
        <v>0.22185365853658537</v>
      </c>
      <c r="J58" s="3">
        <f t="shared" si="1"/>
        <v>280.81944444444446</v>
      </c>
      <c r="K58" s="3">
        <f>SUM(Table3[[#This Row],[RN Hours (excl. Admin, DON)]], Table3[[#This Row],[LPN Hours (excl. Admin)]], Table3[[#This Row],[CNA Hours]], Table3[[#This Row],[NA TR Hours]], Table3[[#This Row],[Med Aide/Tech Hours]])</f>
        <v>253.61944444444444</v>
      </c>
      <c r="L58" s="3">
        <f>SUM(Table3[[#This Row],[RN Hours (excl. Admin, DON)]:[RN DON Hours]])</f>
        <v>39.833333333333336</v>
      </c>
      <c r="M58" s="3">
        <v>12.633333333333333</v>
      </c>
      <c r="N58" s="3">
        <v>21.244444444444444</v>
      </c>
      <c r="O58" s="3">
        <v>5.9555555555555557</v>
      </c>
      <c r="P58" s="3">
        <f>SUM(Table3[[#This Row],[LPN Hours (excl. Admin)]:[LPN Admin Hours]])</f>
        <v>76.894444444444446</v>
      </c>
      <c r="Q58" s="3">
        <v>76.894444444444446</v>
      </c>
      <c r="R58" s="3">
        <v>0</v>
      </c>
      <c r="S58" s="3">
        <f>SUM(Table3[[#This Row],[CNA Hours]], Table3[[#This Row],[NA TR Hours]], Table3[[#This Row],[Med Aide/Tech Hours]])</f>
        <v>164.09166666666667</v>
      </c>
      <c r="T58" s="3">
        <v>144.49166666666667</v>
      </c>
      <c r="U58" s="3">
        <v>19.600000000000001</v>
      </c>
      <c r="V58" s="3">
        <v>0</v>
      </c>
      <c r="W58" s="3">
        <f>SUM(Table3[[#This Row],[RN Hours Contract]:[Med Aide Hours Contract]])</f>
        <v>4.0166666666666666</v>
      </c>
      <c r="X58" s="3">
        <v>0.85555555555555551</v>
      </c>
      <c r="Y58" s="3">
        <v>0</v>
      </c>
      <c r="Z58" s="3">
        <v>0</v>
      </c>
      <c r="AA58" s="3">
        <v>2.8250000000000002</v>
      </c>
      <c r="AB58" s="3">
        <v>0</v>
      </c>
      <c r="AC58" s="3">
        <v>0.33611111111111114</v>
      </c>
      <c r="AD58" s="3">
        <v>0</v>
      </c>
      <c r="AE58" s="3">
        <v>0</v>
      </c>
      <c r="AF58" t="s">
        <v>56</v>
      </c>
      <c r="AG58" s="13">
        <v>10</v>
      </c>
      <c r="AQ58"/>
    </row>
    <row r="59" spans="1:43" x14ac:dyDescent="0.2">
      <c r="A59" t="s">
        <v>128</v>
      </c>
      <c r="B59" t="s">
        <v>186</v>
      </c>
      <c r="C59" t="s">
        <v>281</v>
      </c>
      <c r="D59" t="s">
        <v>335</v>
      </c>
      <c r="E59" s="3">
        <v>92.766666666666666</v>
      </c>
      <c r="F59" s="3">
        <f>Table3[[#This Row],[Total Hours Nurse Staffing]]/Table3[[#This Row],[MDS Census]]</f>
        <v>4.6235513235117978</v>
      </c>
      <c r="G59" s="3">
        <f>Table3[[#This Row],[Total Direct Care Staff Hours]]/Table3[[#This Row],[MDS Census]]</f>
        <v>4.411160618038088</v>
      </c>
      <c r="H59" s="3">
        <f>Table3[[#This Row],[Total RN Hours (w/ Admin, DON)]]/Table3[[#This Row],[MDS Census]]</f>
        <v>0.34430231165409031</v>
      </c>
      <c r="I59" s="3">
        <f>Table3[[#This Row],[RN Hours (excl. Admin, DON)]]/Table3[[#This Row],[MDS Census]]</f>
        <v>0.13382800335369505</v>
      </c>
      <c r="J59" s="3">
        <f t="shared" si="1"/>
        <v>428.91144444444444</v>
      </c>
      <c r="K59" s="3">
        <f>SUM(Table3[[#This Row],[RN Hours (excl. Admin, DON)]], Table3[[#This Row],[LPN Hours (excl. Admin)]], Table3[[#This Row],[CNA Hours]], Table3[[#This Row],[NA TR Hours]], Table3[[#This Row],[Med Aide/Tech Hours]])</f>
        <v>409.20866666666666</v>
      </c>
      <c r="L59" s="3">
        <f>SUM(Table3[[#This Row],[RN Hours (excl. Admin, DON)]:[RN DON Hours]])</f>
        <v>31.939777777777778</v>
      </c>
      <c r="M59" s="3">
        <v>12.414777777777777</v>
      </c>
      <c r="N59" s="3">
        <v>13.83611111111111</v>
      </c>
      <c r="O59" s="3">
        <v>5.6888888888888891</v>
      </c>
      <c r="P59" s="3">
        <f>SUM(Table3[[#This Row],[LPN Hours (excl. Admin)]:[LPN Admin Hours]])</f>
        <v>125.25777777777779</v>
      </c>
      <c r="Q59" s="3">
        <v>125.08000000000001</v>
      </c>
      <c r="R59" s="3">
        <v>0.17777777777777778</v>
      </c>
      <c r="S59" s="3">
        <f>SUM(Table3[[#This Row],[CNA Hours]], Table3[[#This Row],[NA TR Hours]], Table3[[#This Row],[Med Aide/Tech Hours]])</f>
        <v>271.71388888888885</v>
      </c>
      <c r="T59" s="3">
        <v>253.74677777777777</v>
      </c>
      <c r="U59" s="3">
        <v>3.1222222222222222</v>
      </c>
      <c r="V59" s="3">
        <v>14.844888888888891</v>
      </c>
      <c r="W59" s="3">
        <f>SUM(Table3[[#This Row],[RN Hours Contract]:[Med Aide Hours Contract]])</f>
        <v>148.50033333333332</v>
      </c>
      <c r="X59" s="3">
        <v>7.6036666666666655</v>
      </c>
      <c r="Y59" s="3">
        <v>0</v>
      </c>
      <c r="Z59" s="3">
        <v>0</v>
      </c>
      <c r="AA59" s="3">
        <v>24.377222222222219</v>
      </c>
      <c r="AB59" s="3">
        <v>0</v>
      </c>
      <c r="AC59" s="3">
        <v>107.10788888888888</v>
      </c>
      <c r="AD59" s="3">
        <v>0</v>
      </c>
      <c r="AE59" s="3">
        <v>9.4115555555555535</v>
      </c>
      <c r="AF59" t="s">
        <v>57</v>
      </c>
      <c r="AG59" s="13">
        <v>10</v>
      </c>
      <c r="AQ59"/>
    </row>
    <row r="60" spans="1:43" x14ac:dyDescent="0.2">
      <c r="A60" t="s">
        <v>128</v>
      </c>
      <c r="B60" t="s">
        <v>187</v>
      </c>
      <c r="C60" t="s">
        <v>263</v>
      </c>
      <c r="D60" t="s">
        <v>334</v>
      </c>
      <c r="E60" s="3">
        <v>46.2</v>
      </c>
      <c r="F60" s="3">
        <f>Table3[[#This Row],[Total Hours Nurse Staffing]]/Table3[[#This Row],[MDS Census]]</f>
        <v>5.9680375180375185</v>
      </c>
      <c r="G60" s="3">
        <f>Table3[[#This Row],[Total Direct Care Staff Hours]]/Table3[[#This Row],[MDS Census]]</f>
        <v>5.2517484367484366</v>
      </c>
      <c r="H60" s="3">
        <f>Table3[[#This Row],[Total RN Hours (w/ Admin, DON)]]/Table3[[#This Row],[MDS Census]]</f>
        <v>1.0560557960557959</v>
      </c>
      <c r="I60" s="3">
        <f>Table3[[#This Row],[RN Hours (excl. Admin, DON)]]/Table3[[#This Row],[MDS Census]]</f>
        <v>0.43590187590187585</v>
      </c>
      <c r="J60" s="3">
        <f t="shared" si="1"/>
        <v>275.72333333333336</v>
      </c>
      <c r="K60" s="3">
        <f>SUM(Table3[[#This Row],[RN Hours (excl. Admin, DON)]], Table3[[#This Row],[LPN Hours (excl. Admin)]], Table3[[#This Row],[CNA Hours]], Table3[[#This Row],[NA TR Hours]], Table3[[#This Row],[Med Aide/Tech Hours]])</f>
        <v>242.63077777777778</v>
      </c>
      <c r="L60" s="3">
        <f>SUM(Table3[[#This Row],[RN Hours (excl. Admin, DON)]:[RN DON Hours]])</f>
        <v>48.789777777777779</v>
      </c>
      <c r="M60" s="3">
        <v>20.138666666666666</v>
      </c>
      <c r="N60" s="3">
        <v>23.117777777777782</v>
      </c>
      <c r="O60" s="3">
        <v>5.5333333333333332</v>
      </c>
      <c r="P60" s="3">
        <f>SUM(Table3[[#This Row],[LPN Hours (excl. Admin)]:[LPN Admin Hours]])</f>
        <v>46.805444444444447</v>
      </c>
      <c r="Q60" s="3">
        <v>42.364000000000004</v>
      </c>
      <c r="R60" s="3">
        <v>4.4414444444444436</v>
      </c>
      <c r="S60" s="3">
        <f>SUM(Table3[[#This Row],[CNA Hours]], Table3[[#This Row],[NA TR Hours]], Table3[[#This Row],[Med Aide/Tech Hours]])</f>
        <v>180.12811111111114</v>
      </c>
      <c r="T60" s="3">
        <v>149.47988888888889</v>
      </c>
      <c r="U60" s="3">
        <v>3.7739999999999996</v>
      </c>
      <c r="V60" s="3">
        <v>26.87422222222223</v>
      </c>
      <c r="W60" s="3">
        <f>SUM(Table3[[#This Row],[RN Hours Contract]:[Med Aide Hours Contract]])</f>
        <v>0</v>
      </c>
      <c r="X60" s="3">
        <v>0</v>
      </c>
      <c r="Y60" s="3">
        <v>0</v>
      </c>
      <c r="Z60" s="3">
        <v>0</v>
      </c>
      <c r="AA60" s="3">
        <v>0</v>
      </c>
      <c r="AB60" s="3">
        <v>0</v>
      </c>
      <c r="AC60" s="3">
        <v>0</v>
      </c>
      <c r="AD60" s="3">
        <v>0</v>
      </c>
      <c r="AE60" s="3">
        <v>0</v>
      </c>
      <c r="AF60" t="s">
        <v>58</v>
      </c>
      <c r="AG60" s="13">
        <v>10</v>
      </c>
      <c r="AQ60"/>
    </row>
    <row r="61" spans="1:43" x14ac:dyDescent="0.2">
      <c r="A61" t="s">
        <v>128</v>
      </c>
      <c r="B61" t="s">
        <v>188</v>
      </c>
      <c r="C61" t="s">
        <v>270</v>
      </c>
      <c r="D61" t="s">
        <v>328</v>
      </c>
      <c r="E61" s="3">
        <v>35.088888888888889</v>
      </c>
      <c r="F61" s="3">
        <f>Table3[[#This Row],[Total Hours Nurse Staffing]]/Table3[[#This Row],[MDS Census]]</f>
        <v>3.9796801773274226</v>
      </c>
      <c r="G61" s="3">
        <f>Table3[[#This Row],[Total Direct Care Staff Hours]]/Table3[[#This Row],[MDS Census]]</f>
        <v>3.4934547181760607</v>
      </c>
      <c r="H61" s="3">
        <f>Table3[[#This Row],[Total RN Hours (w/ Admin, DON)]]/Table3[[#This Row],[MDS Census]]</f>
        <v>0.33193476884103862</v>
      </c>
      <c r="I61" s="3">
        <f>Table3[[#This Row],[RN Hours (excl. Admin, DON)]]/Table3[[#This Row],[MDS Census]]</f>
        <v>1.9949335022165927E-2</v>
      </c>
      <c r="J61" s="3">
        <f t="shared" si="1"/>
        <v>139.64255555555556</v>
      </c>
      <c r="K61" s="3">
        <f>SUM(Table3[[#This Row],[RN Hours (excl. Admin, DON)]], Table3[[#This Row],[LPN Hours (excl. Admin)]], Table3[[#This Row],[CNA Hours]], Table3[[#This Row],[NA TR Hours]], Table3[[#This Row],[Med Aide/Tech Hours]])</f>
        <v>122.58144444444444</v>
      </c>
      <c r="L61" s="3">
        <f>SUM(Table3[[#This Row],[RN Hours (excl. Admin, DON)]:[RN DON Hours]])</f>
        <v>11.647222222222222</v>
      </c>
      <c r="M61" s="3">
        <v>0.7</v>
      </c>
      <c r="N61" s="3">
        <v>4.8972222222222221</v>
      </c>
      <c r="O61" s="3">
        <v>6.05</v>
      </c>
      <c r="P61" s="3">
        <f>SUM(Table3[[#This Row],[LPN Hours (excl. Admin)]:[LPN Admin Hours]])</f>
        <v>30.74722222222222</v>
      </c>
      <c r="Q61" s="3">
        <v>24.633333333333333</v>
      </c>
      <c r="R61" s="3">
        <v>6.1138888888888889</v>
      </c>
      <c r="S61" s="3">
        <f>SUM(Table3[[#This Row],[CNA Hours]], Table3[[#This Row],[NA TR Hours]], Table3[[#This Row],[Med Aide/Tech Hours]])</f>
        <v>97.248111111111115</v>
      </c>
      <c r="T61" s="3">
        <v>75.992555555555555</v>
      </c>
      <c r="U61" s="3">
        <v>5.822222222222222</v>
      </c>
      <c r="V61" s="3">
        <v>15.433333333333334</v>
      </c>
      <c r="W61" s="3">
        <f>SUM(Table3[[#This Row],[RN Hours Contract]:[Med Aide Hours Contract]])</f>
        <v>14.284222222222223</v>
      </c>
      <c r="X61" s="3">
        <v>0</v>
      </c>
      <c r="Y61" s="3">
        <v>0</v>
      </c>
      <c r="Z61" s="3">
        <v>0</v>
      </c>
      <c r="AA61" s="3">
        <v>0.51388888888888884</v>
      </c>
      <c r="AB61" s="3">
        <v>0</v>
      </c>
      <c r="AC61" s="3">
        <v>13.770333333333333</v>
      </c>
      <c r="AD61" s="3">
        <v>0</v>
      </c>
      <c r="AE61" s="3">
        <v>0</v>
      </c>
      <c r="AF61" t="s">
        <v>59</v>
      </c>
      <c r="AG61" s="13">
        <v>10</v>
      </c>
      <c r="AQ61"/>
    </row>
    <row r="62" spans="1:43" x14ac:dyDescent="0.2">
      <c r="A62" t="s">
        <v>128</v>
      </c>
      <c r="B62" t="s">
        <v>189</v>
      </c>
      <c r="C62" t="s">
        <v>259</v>
      </c>
      <c r="D62" t="s">
        <v>322</v>
      </c>
      <c r="E62" s="3">
        <v>71.577777777777783</v>
      </c>
      <c r="F62" s="3">
        <f>Table3[[#This Row],[Total Hours Nurse Staffing]]/Table3[[#This Row],[MDS Census]]</f>
        <v>4.6792021111456066</v>
      </c>
      <c r="G62" s="3">
        <f>Table3[[#This Row],[Total Direct Care Staff Hours]]/Table3[[#This Row],[MDS Census]]</f>
        <v>4.4575318224153992</v>
      </c>
      <c r="H62" s="3">
        <f>Table3[[#This Row],[Total RN Hours (w/ Admin, DON)]]/Table3[[#This Row],[MDS Census]]</f>
        <v>0.77146072648245878</v>
      </c>
      <c r="I62" s="3">
        <f>Table3[[#This Row],[RN Hours (excl. Admin, DON)]]/Table3[[#This Row],[MDS Census]]</f>
        <v>0.60319000310462578</v>
      </c>
      <c r="J62" s="3">
        <f t="shared" si="1"/>
        <v>334.92688888888887</v>
      </c>
      <c r="K62" s="3">
        <f>SUM(Table3[[#This Row],[RN Hours (excl. Admin, DON)]], Table3[[#This Row],[LPN Hours (excl. Admin)]], Table3[[#This Row],[CNA Hours]], Table3[[#This Row],[NA TR Hours]], Table3[[#This Row],[Med Aide/Tech Hours]])</f>
        <v>319.06022222222225</v>
      </c>
      <c r="L62" s="3">
        <f>SUM(Table3[[#This Row],[RN Hours (excl. Admin, DON)]:[RN DON Hours]])</f>
        <v>55.219444444444441</v>
      </c>
      <c r="M62" s="3">
        <v>43.174999999999997</v>
      </c>
      <c r="N62" s="3">
        <v>5.5111111111111111</v>
      </c>
      <c r="O62" s="3">
        <v>6.5333333333333332</v>
      </c>
      <c r="P62" s="3">
        <f>SUM(Table3[[#This Row],[LPN Hours (excl. Admin)]:[LPN Admin Hours]])</f>
        <v>79.161111111111111</v>
      </c>
      <c r="Q62" s="3">
        <v>75.338888888888889</v>
      </c>
      <c r="R62" s="3">
        <v>3.8222222222222224</v>
      </c>
      <c r="S62" s="3">
        <f>SUM(Table3[[#This Row],[CNA Hours]], Table3[[#This Row],[NA TR Hours]], Table3[[#This Row],[Med Aide/Tech Hours]])</f>
        <v>200.54633333333331</v>
      </c>
      <c r="T62" s="3">
        <v>185.97688888888888</v>
      </c>
      <c r="U62" s="3">
        <v>3.1</v>
      </c>
      <c r="V62" s="3">
        <v>11.469444444444445</v>
      </c>
      <c r="W62" s="3">
        <f>SUM(Table3[[#This Row],[RN Hours Contract]:[Med Aide Hours Contract]])</f>
        <v>3.5741111111111112</v>
      </c>
      <c r="X62" s="3">
        <v>8.8888888888888892E-2</v>
      </c>
      <c r="Y62" s="3">
        <v>0</v>
      </c>
      <c r="Z62" s="3">
        <v>0</v>
      </c>
      <c r="AA62" s="3">
        <v>0</v>
      </c>
      <c r="AB62" s="3">
        <v>0</v>
      </c>
      <c r="AC62" s="3">
        <v>3.4852222222222222</v>
      </c>
      <c r="AD62" s="3">
        <v>0</v>
      </c>
      <c r="AE62" s="3">
        <v>0</v>
      </c>
      <c r="AF62" t="s">
        <v>60</v>
      </c>
      <c r="AG62" s="13">
        <v>10</v>
      </c>
      <c r="AQ62"/>
    </row>
    <row r="63" spans="1:43" x14ac:dyDescent="0.2">
      <c r="A63" t="s">
        <v>128</v>
      </c>
      <c r="B63" t="s">
        <v>190</v>
      </c>
      <c r="C63" t="s">
        <v>279</v>
      </c>
      <c r="D63" t="s">
        <v>334</v>
      </c>
      <c r="E63" s="3">
        <v>49.022222222222226</v>
      </c>
      <c r="F63" s="3">
        <f>Table3[[#This Row],[Total Hours Nurse Staffing]]/Table3[[#This Row],[MDS Census]]</f>
        <v>4.2423617407071612</v>
      </c>
      <c r="G63" s="3">
        <f>Table3[[#This Row],[Total Direct Care Staff Hours]]/Table3[[#This Row],[MDS Census]]</f>
        <v>3.894220308250226</v>
      </c>
      <c r="H63" s="3">
        <f>Table3[[#This Row],[Total RN Hours (w/ Admin, DON)]]/Table3[[#This Row],[MDS Census]]</f>
        <v>0.68783998186763362</v>
      </c>
      <c r="I63" s="3">
        <f>Table3[[#This Row],[RN Hours (excl. Admin, DON)]]/Table3[[#This Row],[MDS Census]]</f>
        <v>0.45574569356300992</v>
      </c>
      <c r="J63" s="3">
        <f t="shared" si="1"/>
        <v>207.96999999999997</v>
      </c>
      <c r="K63" s="3">
        <f>SUM(Table3[[#This Row],[RN Hours (excl. Admin, DON)]], Table3[[#This Row],[LPN Hours (excl. Admin)]], Table3[[#This Row],[CNA Hours]], Table3[[#This Row],[NA TR Hours]], Table3[[#This Row],[Med Aide/Tech Hours]])</f>
        <v>190.90333333333331</v>
      </c>
      <c r="L63" s="3">
        <f>SUM(Table3[[#This Row],[RN Hours (excl. Admin, DON)]:[RN DON Hours]])</f>
        <v>33.719444444444441</v>
      </c>
      <c r="M63" s="3">
        <v>22.341666666666665</v>
      </c>
      <c r="N63" s="3">
        <v>5.6888888888888891</v>
      </c>
      <c r="O63" s="3">
        <v>5.6888888888888891</v>
      </c>
      <c r="P63" s="3">
        <f>SUM(Table3[[#This Row],[LPN Hours (excl. Admin)]:[LPN Admin Hours]])</f>
        <v>37.094444444444441</v>
      </c>
      <c r="Q63" s="3">
        <v>31.405555555555555</v>
      </c>
      <c r="R63" s="3">
        <v>5.6888888888888891</v>
      </c>
      <c r="S63" s="3">
        <f>SUM(Table3[[#This Row],[CNA Hours]], Table3[[#This Row],[NA TR Hours]], Table3[[#This Row],[Med Aide/Tech Hours]])</f>
        <v>137.1561111111111</v>
      </c>
      <c r="T63" s="3">
        <v>112.99499999999999</v>
      </c>
      <c r="U63" s="3">
        <v>0</v>
      </c>
      <c r="V63" s="3">
        <v>24.161111111111111</v>
      </c>
      <c r="W63" s="3">
        <f>SUM(Table3[[#This Row],[RN Hours Contract]:[Med Aide Hours Contract]])</f>
        <v>12.828333333333333</v>
      </c>
      <c r="X63" s="3">
        <v>0</v>
      </c>
      <c r="Y63" s="3">
        <v>0</v>
      </c>
      <c r="Z63" s="3">
        <v>0</v>
      </c>
      <c r="AA63" s="3">
        <v>0</v>
      </c>
      <c r="AB63" s="3">
        <v>0</v>
      </c>
      <c r="AC63" s="3">
        <v>12.828333333333333</v>
      </c>
      <c r="AD63" s="3">
        <v>0</v>
      </c>
      <c r="AE63" s="3">
        <v>0</v>
      </c>
      <c r="AF63" t="s">
        <v>61</v>
      </c>
      <c r="AG63" s="13">
        <v>10</v>
      </c>
      <c r="AQ63"/>
    </row>
    <row r="64" spans="1:43" x14ac:dyDescent="0.2">
      <c r="A64" t="s">
        <v>128</v>
      </c>
      <c r="B64" t="s">
        <v>191</v>
      </c>
      <c r="C64" t="s">
        <v>297</v>
      </c>
      <c r="D64" t="s">
        <v>321</v>
      </c>
      <c r="E64" s="3">
        <v>77.855555555555554</v>
      </c>
      <c r="F64" s="3">
        <f>Table3[[#This Row],[Total Hours Nurse Staffing]]/Table3[[#This Row],[MDS Census]]</f>
        <v>4.4393192521763956</v>
      </c>
      <c r="G64" s="3">
        <f>Table3[[#This Row],[Total Direct Care Staff Hours]]/Table3[[#This Row],[MDS Census]]</f>
        <v>4.2938218923933213</v>
      </c>
      <c r="H64" s="3">
        <f>Table3[[#This Row],[Total RN Hours (w/ Admin, DON)]]/Table3[[#This Row],[MDS Census]]</f>
        <v>0.43422577422577419</v>
      </c>
      <c r="I64" s="3">
        <f>Table3[[#This Row],[RN Hours (excl. Admin, DON)]]/Table3[[#This Row],[MDS Census]]</f>
        <v>0.28872841444270014</v>
      </c>
      <c r="J64" s="3">
        <f t="shared" si="1"/>
        <v>345.62566666666669</v>
      </c>
      <c r="K64" s="3">
        <f>SUM(Table3[[#This Row],[RN Hours (excl. Admin, DON)]], Table3[[#This Row],[LPN Hours (excl. Admin)]], Table3[[#This Row],[CNA Hours]], Table3[[#This Row],[NA TR Hours]], Table3[[#This Row],[Med Aide/Tech Hours]])</f>
        <v>334.29788888888891</v>
      </c>
      <c r="L64" s="3">
        <f>SUM(Table3[[#This Row],[RN Hours (excl. Admin, DON)]:[RN DON Hours]])</f>
        <v>33.806888888888885</v>
      </c>
      <c r="M64" s="3">
        <v>22.479111111111109</v>
      </c>
      <c r="N64" s="3">
        <v>5.7277777777777779</v>
      </c>
      <c r="O64" s="3">
        <v>5.6</v>
      </c>
      <c r="P64" s="3">
        <f>SUM(Table3[[#This Row],[LPN Hours (excl. Admin)]:[LPN Admin Hours]])</f>
        <v>106.09111111111112</v>
      </c>
      <c r="Q64" s="3">
        <v>106.09111111111112</v>
      </c>
      <c r="R64" s="3">
        <v>0</v>
      </c>
      <c r="S64" s="3">
        <f>SUM(Table3[[#This Row],[CNA Hours]], Table3[[#This Row],[NA TR Hours]], Table3[[#This Row],[Med Aide/Tech Hours]])</f>
        <v>205.72766666666672</v>
      </c>
      <c r="T64" s="3">
        <v>192.43044444444448</v>
      </c>
      <c r="U64" s="3">
        <v>1.9638888888888888</v>
      </c>
      <c r="V64" s="3">
        <v>11.333333333333334</v>
      </c>
      <c r="W64" s="3">
        <f>SUM(Table3[[#This Row],[RN Hours Contract]:[Med Aide Hours Contract]])</f>
        <v>66.039555555555552</v>
      </c>
      <c r="X64" s="3">
        <v>1.4180000000000001</v>
      </c>
      <c r="Y64" s="3">
        <v>0</v>
      </c>
      <c r="Z64" s="3">
        <v>0</v>
      </c>
      <c r="AA64" s="3">
        <v>2.6272222222222221</v>
      </c>
      <c r="AB64" s="3">
        <v>0</v>
      </c>
      <c r="AC64" s="3">
        <v>61.99433333333333</v>
      </c>
      <c r="AD64" s="3">
        <v>0</v>
      </c>
      <c r="AE64" s="3">
        <v>0</v>
      </c>
      <c r="AF64" t="s">
        <v>62</v>
      </c>
      <c r="AG64" s="13">
        <v>10</v>
      </c>
      <c r="AQ64"/>
    </row>
    <row r="65" spans="1:43" x14ac:dyDescent="0.2">
      <c r="A65" t="s">
        <v>128</v>
      </c>
      <c r="B65" t="s">
        <v>192</v>
      </c>
      <c r="C65" t="s">
        <v>258</v>
      </c>
      <c r="D65" t="s">
        <v>319</v>
      </c>
      <c r="E65" s="3">
        <v>45.31111111111111</v>
      </c>
      <c r="F65" s="3">
        <f>Table3[[#This Row],[Total Hours Nurse Staffing]]/Table3[[#This Row],[MDS Census]]</f>
        <v>4.8132540461010302</v>
      </c>
      <c r="G65" s="3">
        <f>Table3[[#This Row],[Total Direct Care Staff Hours]]/Table3[[#This Row],[MDS Census]]</f>
        <v>4.2796689553702789</v>
      </c>
      <c r="H65" s="3">
        <f>Table3[[#This Row],[Total RN Hours (w/ Admin, DON)]]/Table3[[#This Row],[MDS Census]]</f>
        <v>0.50425453653751828</v>
      </c>
      <c r="I65" s="3">
        <f>Table3[[#This Row],[RN Hours (excl. Admin, DON)]]/Table3[[#This Row],[MDS Census]]</f>
        <v>0.19131927415399705</v>
      </c>
      <c r="J65" s="3">
        <f t="shared" si="1"/>
        <v>218.0938888888889</v>
      </c>
      <c r="K65" s="3">
        <f>SUM(Table3[[#This Row],[RN Hours (excl. Admin, DON)]], Table3[[#This Row],[LPN Hours (excl. Admin)]], Table3[[#This Row],[CNA Hours]], Table3[[#This Row],[NA TR Hours]], Table3[[#This Row],[Med Aide/Tech Hours]])</f>
        <v>193.91655555555553</v>
      </c>
      <c r="L65" s="3">
        <f>SUM(Table3[[#This Row],[RN Hours (excl. Admin, DON)]:[RN DON Hours]])</f>
        <v>22.848333333333329</v>
      </c>
      <c r="M65" s="3">
        <v>8.6688888888888886</v>
      </c>
      <c r="N65" s="3">
        <v>8.8127777777777752</v>
      </c>
      <c r="O65" s="3">
        <v>5.3666666666666663</v>
      </c>
      <c r="P65" s="3">
        <f>SUM(Table3[[#This Row],[LPN Hours (excl. Admin)]:[LPN Admin Hours]])</f>
        <v>74.323777777777778</v>
      </c>
      <c r="Q65" s="3">
        <v>64.325888888888883</v>
      </c>
      <c r="R65" s="3">
        <v>9.9978888888888893</v>
      </c>
      <c r="S65" s="3">
        <f>SUM(Table3[[#This Row],[CNA Hours]], Table3[[#This Row],[NA TR Hours]], Table3[[#This Row],[Med Aide/Tech Hours]])</f>
        <v>120.92177777777778</v>
      </c>
      <c r="T65" s="3">
        <v>108.34811111111111</v>
      </c>
      <c r="U65" s="3">
        <v>11.657000000000002</v>
      </c>
      <c r="V65" s="3">
        <v>0.91666666666666663</v>
      </c>
      <c r="W65" s="3">
        <f>SUM(Table3[[#This Row],[RN Hours Contract]:[Med Aide Hours Contract]])</f>
        <v>3.5384444444444441</v>
      </c>
      <c r="X65" s="3">
        <v>0.58888888888888891</v>
      </c>
      <c r="Y65" s="3">
        <v>0</v>
      </c>
      <c r="Z65" s="3">
        <v>0</v>
      </c>
      <c r="AA65" s="3">
        <v>0.18333333333333332</v>
      </c>
      <c r="AB65" s="3">
        <v>0</v>
      </c>
      <c r="AC65" s="3">
        <v>2.7662222222222219</v>
      </c>
      <c r="AD65" s="3">
        <v>0</v>
      </c>
      <c r="AE65" s="3">
        <v>0</v>
      </c>
      <c r="AF65" t="s">
        <v>63</v>
      </c>
      <c r="AG65" s="13">
        <v>10</v>
      </c>
      <c r="AQ65"/>
    </row>
    <row r="66" spans="1:43" x14ac:dyDescent="0.2">
      <c r="A66" t="s">
        <v>128</v>
      </c>
      <c r="B66" t="s">
        <v>193</v>
      </c>
      <c r="C66" t="s">
        <v>299</v>
      </c>
      <c r="D66" t="s">
        <v>344</v>
      </c>
      <c r="E66" s="3">
        <v>39.955555555555556</v>
      </c>
      <c r="F66" s="3">
        <f>Table3[[#This Row],[Total Hours Nurse Staffing]]/Table3[[#This Row],[MDS Census]]</f>
        <v>4.3827308120133486</v>
      </c>
      <c r="G66" s="3">
        <f>Table3[[#This Row],[Total Direct Care Staff Hours]]/Table3[[#This Row],[MDS Census]]</f>
        <v>3.9181312569521691</v>
      </c>
      <c r="H66" s="3">
        <f>Table3[[#This Row],[Total RN Hours (w/ Admin, DON)]]/Table3[[#This Row],[MDS Census]]</f>
        <v>0.63627363737486098</v>
      </c>
      <c r="I66" s="3">
        <f>Table3[[#This Row],[RN Hours (excl. Admin, DON)]]/Table3[[#This Row],[MDS Census]]</f>
        <v>0.33427419354838706</v>
      </c>
      <c r="J66" s="3">
        <f t="shared" si="1"/>
        <v>175.11444444444444</v>
      </c>
      <c r="K66" s="3">
        <f>SUM(Table3[[#This Row],[RN Hours (excl. Admin, DON)]], Table3[[#This Row],[LPN Hours (excl. Admin)]], Table3[[#This Row],[CNA Hours]], Table3[[#This Row],[NA TR Hours]], Table3[[#This Row],[Med Aide/Tech Hours]])</f>
        <v>156.55111111111111</v>
      </c>
      <c r="L66" s="3">
        <f>SUM(Table3[[#This Row],[RN Hours (excl. Admin, DON)]:[RN DON Hours]])</f>
        <v>25.422666666666668</v>
      </c>
      <c r="M66" s="3">
        <v>13.35611111111111</v>
      </c>
      <c r="N66" s="3">
        <v>7.1610000000000014</v>
      </c>
      <c r="O66" s="3">
        <v>4.9055555555555559</v>
      </c>
      <c r="P66" s="3">
        <f>SUM(Table3[[#This Row],[LPN Hours (excl. Admin)]:[LPN Admin Hours]])</f>
        <v>47.569222222222223</v>
      </c>
      <c r="Q66" s="3">
        <v>41.072444444444443</v>
      </c>
      <c r="R66" s="3">
        <v>6.4967777777777771</v>
      </c>
      <c r="S66" s="3">
        <f>SUM(Table3[[#This Row],[CNA Hours]], Table3[[#This Row],[NA TR Hours]], Table3[[#This Row],[Med Aide/Tech Hours]])</f>
        <v>102.12255555555555</v>
      </c>
      <c r="T66" s="3">
        <v>95.648666666666657</v>
      </c>
      <c r="U66" s="3">
        <v>5.8822222222222242</v>
      </c>
      <c r="V66" s="3">
        <v>0.59166666666666667</v>
      </c>
      <c r="W66" s="3">
        <f>SUM(Table3[[#This Row],[RN Hours Contract]:[Med Aide Hours Contract]])</f>
        <v>0</v>
      </c>
      <c r="X66" s="3">
        <v>0</v>
      </c>
      <c r="Y66" s="3">
        <v>0</v>
      </c>
      <c r="Z66" s="3">
        <v>0</v>
      </c>
      <c r="AA66" s="3">
        <v>0</v>
      </c>
      <c r="AB66" s="3">
        <v>0</v>
      </c>
      <c r="AC66" s="3">
        <v>0</v>
      </c>
      <c r="AD66" s="3">
        <v>0</v>
      </c>
      <c r="AE66" s="3">
        <v>0</v>
      </c>
      <c r="AF66" t="s">
        <v>64</v>
      </c>
      <c r="AG66" s="13">
        <v>10</v>
      </c>
      <c r="AQ66"/>
    </row>
    <row r="67" spans="1:43" x14ac:dyDescent="0.2">
      <c r="A67" t="s">
        <v>128</v>
      </c>
      <c r="B67" t="s">
        <v>194</v>
      </c>
      <c r="C67" t="s">
        <v>302</v>
      </c>
      <c r="D67" t="s">
        <v>339</v>
      </c>
      <c r="E67" s="3">
        <v>5.7111111111111112</v>
      </c>
      <c r="F67" s="3">
        <f>Table3[[#This Row],[Total Hours Nurse Staffing]]/Table3[[#This Row],[MDS Census]]</f>
        <v>9.8807198443579765</v>
      </c>
      <c r="G67" s="3">
        <f>Table3[[#This Row],[Total Direct Care Staff Hours]]/Table3[[#This Row],[MDS Census]]</f>
        <v>8.7745525291828805</v>
      </c>
      <c r="H67" s="3">
        <f>Table3[[#This Row],[Total RN Hours (w/ Admin, DON)]]/Table3[[#This Row],[MDS Census]]</f>
        <v>4.2224902723735411</v>
      </c>
      <c r="I67" s="3">
        <f>Table3[[#This Row],[RN Hours (excl. Admin, DON)]]/Table3[[#This Row],[MDS Census]]</f>
        <v>3.116322957198443</v>
      </c>
      <c r="J67" s="3">
        <f t="shared" si="1"/>
        <v>56.42988888888889</v>
      </c>
      <c r="K67" s="3">
        <f>SUM(Table3[[#This Row],[RN Hours (excl. Admin, DON)]], Table3[[#This Row],[LPN Hours (excl. Admin)]], Table3[[#This Row],[CNA Hours]], Table3[[#This Row],[NA TR Hours]], Table3[[#This Row],[Med Aide/Tech Hours]])</f>
        <v>50.112444444444449</v>
      </c>
      <c r="L67" s="3">
        <f>SUM(Table3[[#This Row],[RN Hours (excl. Admin, DON)]:[RN DON Hours]])</f>
        <v>24.115111111111112</v>
      </c>
      <c r="M67" s="3">
        <v>17.797666666666665</v>
      </c>
      <c r="N67" s="3">
        <v>0.71744444444444433</v>
      </c>
      <c r="O67" s="3">
        <v>5.6</v>
      </c>
      <c r="P67" s="3">
        <f>SUM(Table3[[#This Row],[LPN Hours (excl. Admin)]:[LPN Admin Hours]])</f>
        <v>8.0341111111111125</v>
      </c>
      <c r="Q67" s="3">
        <v>8.0341111111111125</v>
      </c>
      <c r="R67" s="3">
        <v>0</v>
      </c>
      <c r="S67" s="3">
        <f>SUM(Table3[[#This Row],[CNA Hours]], Table3[[#This Row],[NA TR Hours]], Table3[[#This Row],[Med Aide/Tech Hours]])</f>
        <v>24.280666666666669</v>
      </c>
      <c r="T67" s="3">
        <v>24.280666666666669</v>
      </c>
      <c r="U67" s="3">
        <v>0</v>
      </c>
      <c r="V67" s="3">
        <v>0</v>
      </c>
      <c r="W67" s="3">
        <f>SUM(Table3[[#This Row],[RN Hours Contract]:[Med Aide Hours Contract]])</f>
        <v>0</v>
      </c>
      <c r="X67" s="3">
        <v>0</v>
      </c>
      <c r="Y67" s="3">
        <v>0</v>
      </c>
      <c r="Z67" s="3">
        <v>0</v>
      </c>
      <c r="AA67" s="3">
        <v>0</v>
      </c>
      <c r="AB67" s="3">
        <v>0</v>
      </c>
      <c r="AC67" s="3">
        <v>0</v>
      </c>
      <c r="AD67" s="3">
        <v>0</v>
      </c>
      <c r="AE67" s="3">
        <v>0</v>
      </c>
      <c r="AF67" t="s">
        <v>65</v>
      </c>
      <c r="AG67" s="13">
        <v>10</v>
      </c>
      <c r="AQ67"/>
    </row>
    <row r="68" spans="1:43" x14ac:dyDescent="0.2">
      <c r="A68" t="s">
        <v>128</v>
      </c>
      <c r="B68" t="s">
        <v>195</v>
      </c>
      <c r="C68" t="s">
        <v>269</v>
      </c>
      <c r="D68" t="s">
        <v>343</v>
      </c>
      <c r="E68" s="3">
        <v>33.37777777777778</v>
      </c>
      <c r="F68" s="3">
        <f>Table3[[#This Row],[Total Hours Nurse Staffing]]/Table3[[#This Row],[MDS Census]]</f>
        <v>4.8886085219707054</v>
      </c>
      <c r="G68" s="3">
        <f>Table3[[#This Row],[Total Direct Care Staff Hours]]/Table3[[#This Row],[MDS Census]]</f>
        <v>4.2657989347536622</v>
      </c>
      <c r="H68" s="3">
        <f>Table3[[#This Row],[Total RN Hours (w/ Admin, DON)]]/Table3[[#This Row],[MDS Census]]</f>
        <v>1.3444007989347535</v>
      </c>
      <c r="I68" s="3">
        <f>Table3[[#This Row],[RN Hours (excl. Admin, DON)]]/Table3[[#This Row],[MDS Census]]</f>
        <v>0.72159121171770968</v>
      </c>
      <c r="J68" s="3">
        <f t="shared" si="1"/>
        <v>163.1708888888889</v>
      </c>
      <c r="K68" s="3">
        <f>SUM(Table3[[#This Row],[RN Hours (excl. Admin, DON)]], Table3[[#This Row],[LPN Hours (excl. Admin)]], Table3[[#This Row],[CNA Hours]], Table3[[#This Row],[NA TR Hours]], Table3[[#This Row],[Med Aide/Tech Hours]])</f>
        <v>142.38288888888891</v>
      </c>
      <c r="L68" s="3">
        <f>SUM(Table3[[#This Row],[RN Hours (excl. Admin, DON)]:[RN DON Hours]])</f>
        <v>44.873111111111108</v>
      </c>
      <c r="M68" s="3">
        <v>24.085111111111111</v>
      </c>
      <c r="N68" s="3">
        <v>15.871333333333332</v>
      </c>
      <c r="O68" s="3">
        <v>4.916666666666667</v>
      </c>
      <c r="P68" s="3">
        <f>SUM(Table3[[#This Row],[LPN Hours (excl. Admin)]:[LPN Admin Hours]])</f>
        <v>12.406777777777776</v>
      </c>
      <c r="Q68" s="3">
        <v>12.406777777777776</v>
      </c>
      <c r="R68" s="3">
        <v>0</v>
      </c>
      <c r="S68" s="3">
        <f>SUM(Table3[[#This Row],[CNA Hours]], Table3[[#This Row],[NA TR Hours]], Table3[[#This Row],[Med Aide/Tech Hours]])</f>
        <v>105.89100000000001</v>
      </c>
      <c r="T68" s="3">
        <v>98.326999999999998</v>
      </c>
      <c r="U68" s="3">
        <v>0.69611111111111112</v>
      </c>
      <c r="V68" s="3">
        <v>6.8678888888888956</v>
      </c>
      <c r="W68" s="3">
        <f>SUM(Table3[[#This Row],[RN Hours Contract]:[Med Aide Hours Contract]])</f>
        <v>0</v>
      </c>
      <c r="X68" s="3">
        <v>0</v>
      </c>
      <c r="Y68" s="3">
        <v>0</v>
      </c>
      <c r="Z68" s="3">
        <v>0</v>
      </c>
      <c r="AA68" s="3">
        <v>0</v>
      </c>
      <c r="AB68" s="3">
        <v>0</v>
      </c>
      <c r="AC68" s="3">
        <v>0</v>
      </c>
      <c r="AD68" s="3">
        <v>0</v>
      </c>
      <c r="AE68" s="3">
        <v>0</v>
      </c>
      <c r="AF68" t="s">
        <v>66</v>
      </c>
      <c r="AG68" s="13">
        <v>10</v>
      </c>
      <c r="AQ68"/>
    </row>
    <row r="69" spans="1:43" x14ac:dyDescent="0.2">
      <c r="A69" t="s">
        <v>128</v>
      </c>
      <c r="B69" t="s">
        <v>196</v>
      </c>
      <c r="C69" t="s">
        <v>277</v>
      </c>
      <c r="D69" t="s">
        <v>339</v>
      </c>
      <c r="E69" s="3">
        <v>45.411111111111111</v>
      </c>
      <c r="F69" s="3">
        <f>Table3[[#This Row],[Total Hours Nurse Staffing]]/Table3[[#This Row],[MDS Census]]</f>
        <v>4.3729508196721314</v>
      </c>
      <c r="G69" s="3">
        <f>Table3[[#This Row],[Total Direct Care Staff Hours]]/Table3[[#This Row],[MDS Census]]</f>
        <v>4.2555052605823338</v>
      </c>
      <c r="H69" s="3">
        <f>Table3[[#This Row],[Total RN Hours (w/ Admin, DON)]]/Table3[[#This Row],[MDS Census]]</f>
        <v>0.92176413016882797</v>
      </c>
      <c r="I69" s="3">
        <f>Table3[[#This Row],[RN Hours (excl. Admin, DON)]]/Table3[[#This Row],[MDS Census]]</f>
        <v>0.80431857107903104</v>
      </c>
      <c r="J69" s="3">
        <f t="shared" si="1"/>
        <v>198.58055555555558</v>
      </c>
      <c r="K69" s="3">
        <f>SUM(Table3[[#This Row],[RN Hours (excl. Admin, DON)]], Table3[[#This Row],[LPN Hours (excl. Admin)]], Table3[[#This Row],[CNA Hours]], Table3[[#This Row],[NA TR Hours]], Table3[[#This Row],[Med Aide/Tech Hours]])</f>
        <v>193.24722222222221</v>
      </c>
      <c r="L69" s="3">
        <f>SUM(Table3[[#This Row],[RN Hours (excl. Admin, DON)]:[RN DON Hours]])</f>
        <v>41.858333333333334</v>
      </c>
      <c r="M69" s="3">
        <v>36.524999999999999</v>
      </c>
      <c r="N69" s="3">
        <v>0</v>
      </c>
      <c r="O69" s="3">
        <v>5.333333333333333</v>
      </c>
      <c r="P69" s="3">
        <f>SUM(Table3[[#This Row],[LPN Hours (excl. Admin)]:[LPN Admin Hours]])</f>
        <v>22.672222222222221</v>
      </c>
      <c r="Q69" s="3">
        <v>22.672222222222221</v>
      </c>
      <c r="R69" s="3">
        <v>0</v>
      </c>
      <c r="S69" s="3">
        <f>SUM(Table3[[#This Row],[CNA Hours]], Table3[[#This Row],[NA TR Hours]], Table3[[#This Row],[Med Aide/Tech Hours]])</f>
        <v>134.05000000000001</v>
      </c>
      <c r="T69" s="3">
        <v>111.69722222222222</v>
      </c>
      <c r="U69" s="3">
        <v>4.4083333333333332</v>
      </c>
      <c r="V69" s="3">
        <v>17.944444444444443</v>
      </c>
      <c r="W69" s="3">
        <f>SUM(Table3[[#This Row],[RN Hours Contract]:[Med Aide Hours Contract]])</f>
        <v>3.7805555555555554</v>
      </c>
      <c r="X69" s="3">
        <v>0</v>
      </c>
      <c r="Y69" s="3">
        <v>0</v>
      </c>
      <c r="Z69" s="3">
        <v>0</v>
      </c>
      <c r="AA69" s="3">
        <v>0</v>
      </c>
      <c r="AB69" s="3">
        <v>0</v>
      </c>
      <c r="AC69" s="3">
        <v>3.7805555555555554</v>
      </c>
      <c r="AD69" s="3">
        <v>0</v>
      </c>
      <c r="AE69" s="3">
        <v>0</v>
      </c>
      <c r="AF69" t="s">
        <v>67</v>
      </c>
      <c r="AG69" s="13">
        <v>10</v>
      </c>
      <c r="AQ69"/>
    </row>
    <row r="70" spans="1:43" x14ac:dyDescent="0.2">
      <c r="A70" t="s">
        <v>128</v>
      </c>
      <c r="B70" t="s">
        <v>197</v>
      </c>
      <c r="C70" t="s">
        <v>292</v>
      </c>
      <c r="D70" t="s">
        <v>321</v>
      </c>
      <c r="E70" s="3">
        <v>43.077777777777776</v>
      </c>
      <c r="F70" s="3">
        <f>Table3[[#This Row],[Total Hours Nurse Staffing]]/Table3[[#This Row],[MDS Census]]</f>
        <v>5.0791849368068096</v>
      </c>
      <c r="G70" s="3">
        <f>Table3[[#This Row],[Total Direct Care Staff Hours]]/Table3[[#This Row],[MDS Census]]</f>
        <v>4.6323188031983493</v>
      </c>
      <c r="H70" s="3">
        <f>Table3[[#This Row],[Total RN Hours (w/ Admin, DON)]]/Table3[[#This Row],[MDS Census]]</f>
        <v>1.2215630642249162</v>
      </c>
      <c r="I70" s="3">
        <f>Table3[[#This Row],[RN Hours (excl. Admin, DON)]]/Table3[[#This Row],[MDS Census]]</f>
        <v>0.77469693061645606</v>
      </c>
      <c r="J70" s="3">
        <f t="shared" si="1"/>
        <v>218.8</v>
      </c>
      <c r="K70" s="3">
        <f>SUM(Table3[[#This Row],[RN Hours (excl. Admin, DON)]], Table3[[#This Row],[LPN Hours (excl. Admin)]], Table3[[#This Row],[CNA Hours]], Table3[[#This Row],[NA TR Hours]], Table3[[#This Row],[Med Aide/Tech Hours]])</f>
        <v>199.54999999999998</v>
      </c>
      <c r="L70" s="3">
        <f>SUM(Table3[[#This Row],[RN Hours (excl. Admin, DON)]:[RN DON Hours]])</f>
        <v>52.62222222222222</v>
      </c>
      <c r="M70" s="3">
        <v>33.37222222222222</v>
      </c>
      <c r="N70" s="3">
        <v>14.361111111111111</v>
      </c>
      <c r="O70" s="3">
        <v>4.8888888888888893</v>
      </c>
      <c r="P70" s="3">
        <f>SUM(Table3[[#This Row],[LPN Hours (excl. Admin)]:[LPN Admin Hours]])</f>
        <v>42.197222222222223</v>
      </c>
      <c r="Q70" s="3">
        <v>42.197222222222223</v>
      </c>
      <c r="R70" s="3">
        <v>0</v>
      </c>
      <c r="S70" s="3">
        <f>SUM(Table3[[#This Row],[CNA Hours]], Table3[[#This Row],[NA TR Hours]], Table3[[#This Row],[Med Aide/Tech Hours]])</f>
        <v>123.98055555555555</v>
      </c>
      <c r="T70" s="3">
        <v>102.31944444444444</v>
      </c>
      <c r="U70" s="3">
        <v>15.397222222222222</v>
      </c>
      <c r="V70" s="3">
        <v>6.2638888888888893</v>
      </c>
      <c r="W70" s="3">
        <f>SUM(Table3[[#This Row],[RN Hours Contract]:[Med Aide Hours Contract]])</f>
        <v>10.283333333333333</v>
      </c>
      <c r="X70" s="3">
        <v>0.70277777777777772</v>
      </c>
      <c r="Y70" s="3">
        <v>0</v>
      </c>
      <c r="Z70" s="3">
        <v>0</v>
      </c>
      <c r="AA70" s="3">
        <v>3.0944444444444446</v>
      </c>
      <c r="AB70" s="3">
        <v>0</v>
      </c>
      <c r="AC70" s="3">
        <v>5.5777777777777775</v>
      </c>
      <c r="AD70" s="3">
        <v>0</v>
      </c>
      <c r="AE70" s="3">
        <v>0.90833333333333333</v>
      </c>
      <c r="AF70" t="s">
        <v>68</v>
      </c>
      <c r="AG70" s="13">
        <v>10</v>
      </c>
      <c r="AQ70"/>
    </row>
    <row r="71" spans="1:43" x14ac:dyDescent="0.2">
      <c r="A71" t="s">
        <v>128</v>
      </c>
      <c r="B71" t="s">
        <v>198</v>
      </c>
      <c r="C71" t="s">
        <v>265</v>
      </c>
      <c r="D71" t="s">
        <v>331</v>
      </c>
      <c r="E71" s="3">
        <v>65.833333333333329</v>
      </c>
      <c r="F71" s="3">
        <f>Table3[[#This Row],[Total Hours Nurse Staffing]]/Table3[[#This Row],[MDS Census]]</f>
        <v>6.2565215189873431</v>
      </c>
      <c r="G71" s="3">
        <f>Table3[[#This Row],[Total Direct Care Staff Hours]]/Table3[[#This Row],[MDS Census]]</f>
        <v>5.738259915611815</v>
      </c>
      <c r="H71" s="3">
        <f>Table3[[#This Row],[Total RN Hours (w/ Admin, DON)]]/Table3[[#This Row],[MDS Census]]</f>
        <v>0.6795510548523207</v>
      </c>
      <c r="I71" s="3">
        <f>Table3[[#This Row],[RN Hours (excl. Admin, DON)]]/Table3[[#This Row],[MDS Census]]</f>
        <v>0.27921350210970464</v>
      </c>
      <c r="J71" s="3">
        <f t="shared" si="1"/>
        <v>411.88766666666675</v>
      </c>
      <c r="K71" s="3">
        <f>SUM(Table3[[#This Row],[RN Hours (excl. Admin, DON)]], Table3[[#This Row],[LPN Hours (excl. Admin)]], Table3[[#This Row],[CNA Hours]], Table3[[#This Row],[NA TR Hours]], Table3[[#This Row],[Med Aide/Tech Hours]])</f>
        <v>377.76877777777781</v>
      </c>
      <c r="L71" s="3">
        <f>SUM(Table3[[#This Row],[RN Hours (excl. Admin, DON)]:[RN DON Hours]])</f>
        <v>44.737111111111112</v>
      </c>
      <c r="M71" s="3">
        <v>18.381555555555554</v>
      </c>
      <c r="N71" s="3">
        <v>20.666666666666668</v>
      </c>
      <c r="O71" s="3">
        <v>5.6888888888888891</v>
      </c>
      <c r="P71" s="3">
        <f>SUM(Table3[[#This Row],[LPN Hours (excl. Admin)]:[LPN Admin Hours]])</f>
        <v>73.683111111111117</v>
      </c>
      <c r="Q71" s="3">
        <v>65.919777777777782</v>
      </c>
      <c r="R71" s="3">
        <v>7.7633333333333336</v>
      </c>
      <c r="S71" s="3">
        <f>SUM(Table3[[#This Row],[CNA Hours]], Table3[[#This Row],[NA TR Hours]], Table3[[#This Row],[Med Aide/Tech Hours]])</f>
        <v>293.46744444444448</v>
      </c>
      <c r="T71" s="3">
        <v>256.96100000000001</v>
      </c>
      <c r="U71" s="3">
        <v>0</v>
      </c>
      <c r="V71" s="3">
        <v>36.506444444444448</v>
      </c>
      <c r="W71" s="3">
        <f>SUM(Table3[[#This Row],[RN Hours Contract]:[Med Aide Hours Contract]])</f>
        <v>6.9333333333333336</v>
      </c>
      <c r="X71" s="3">
        <v>0.26666666666666666</v>
      </c>
      <c r="Y71" s="3">
        <v>0</v>
      </c>
      <c r="Z71" s="3">
        <v>0</v>
      </c>
      <c r="AA71" s="3">
        <v>2.6666666666666665</v>
      </c>
      <c r="AB71" s="3">
        <v>0</v>
      </c>
      <c r="AC71" s="3">
        <v>4</v>
      </c>
      <c r="AD71" s="3">
        <v>0</v>
      </c>
      <c r="AE71" s="3">
        <v>0</v>
      </c>
      <c r="AF71" t="s">
        <v>69</v>
      </c>
      <c r="AG71" s="13">
        <v>10</v>
      </c>
      <c r="AQ71"/>
    </row>
    <row r="72" spans="1:43" x14ac:dyDescent="0.2">
      <c r="A72" t="s">
        <v>128</v>
      </c>
      <c r="B72" t="s">
        <v>199</v>
      </c>
      <c r="C72" t="s">
        <v>264</v>
      </c>
      <c r="D72" t="s">
        <v>328</v>
      </c>
      <c r="E72" s="3">
        <v>79.733333333333334</v>
      </c>
      <c r="F72" s="3">
        <f>Table3[[#This Row],[Total Hours Nurse Staffing]]/Table3[[#This Row],[MDS Census]]</f>
        <v>4.9693743032329989</v>
      </c>
      <c r="G72" s="3">
        <f>Table3[[#This Row],[Total Direct Care Staff Hours]]/Table3[[#This Row],[MDS Census]]</f>
        <v>4.5134099777034562</v>
      </c>
      <c r="H72" s="3">
        <f>Table3[[#This Row],[Total RN Hours (w/ Admin, DON)]]/Table3[[#This Row],[MDS Census]]</f>
        <v>0.74289158305462644</v>
      </c>
      <c r="I72" s="3">
        <f>Table3[[#This Row],[RN Hours (excl. Admin, DON)]]/Table3[[#This Row],[MDS Census]]</f>
        <v>0.28692725752508358</v>
      </c>
      <c r="J72" s="3">
        <f t="shared" si="1"/>
        <v>396.22477777777777</v>
      </c>
      <c r="K72" s="3">
        <f>SUM(Table3[[#This Row],[RN Hours (excl. Admin, DON)]], Table3[[#This Row],[LPN Hours (excl. Admin)]], Table3[[#This Row],[CNA Hours]], Table3[[#This Row],[NA TR Hours]], Table3[[#This Row],[Med Aide/Tech Hours]])</f>
        <v>359.86922222222222</v>
      </c>
      <c r="L72" s="3">
        <f>SUM(Table3[[#This Row],[RN Hours (excl. Admin, DON)]:[RN DON Hours]])</f>
        <v>59.233222222222217</v>
      </c>
      <c r="M72" s="3">
        <v>22.877666666666663</v>
      </c>
      <c r="N72" s="3">
        <v>30.666666666666668</v>
      </c>
      <c r="O72" s="3">
        <v>5.6888888888888891</v>
      </c>
      <c r="P72" s="3">
        <f>SUM(Table3[[#This Row],[LPN Hours (excl. Admin)]:[LPN Admin Hours]])</f>
        <v>88.534999999999997</v>
      </c>
      <c r="Q72" s="3">
        <v>88.534999999999997</v>
      </c>
      <c r="R72" s="3">
        <v>0</v>
      </c>
      <c r="S72" s="3">
        <f>SUM(Table3[[#This Row],[CNA Hours]], Table3[[#This Row],[NA TR Hours]], Table3[[#This Row],[Med Aide/Tech Hours]])</f>
        <v>248.45655555555555</v>
      </c>
      <c r="T72" s="3">
        <v>248.45655555555555</v>
      </c>
      <c r="U72" s="3">
        <v>0</v>
      </c>
      <c r="V72" s="3">
        <v>0</v>
      </c>
      <c r="W72" s="3">
        <f>SUM(Table3[[#This Row],[RN Hours Contract]:[Med Aide Hours Contract]])</f>
        <v>0</v>
      </c>
      <c r="X72" s="3">
        <v>0</v>
      </c>
      <c r="Y72" s="3">
        <v>0</v>
      </c>
      <c r="Z72" s="3">
        <v>0</v>
      </c>
      <c r="AA72" s="3">
        <v>0</v>
      </c>
      <c r="AB72" s="3">
        <v>0</v>
      </c>
      <c r="AC72" s="3">
        <v>0</v>
      </c>
      <c r="AD72" s="3">
        <v>0</v>
      </c>
      <c r="AE72" s="3">
        <v>0</v>
      </c>
      <c r="AF72" t="s">
        <v>70</v>
      </c>
      <c r="AG72" s="13">
        <v>10</v>
      </c>
      <c r="AQ72"/>
    </row>
    <row r="73" spans="1:43" x14ac:dyDescent="0.2">
      <c r="A73" t="s">
        <v>128</v>
      </c>
      <c r="B73" t="s">
        <v>200</v>
      </c>
      <c r="C73" t="s">
        <v>263</v>
      </c>
      <c r="D73" t="s">
        <v>334</v>
      </c>
      <c r="E73" s="3">
        <v>56.488888888888887</v>
      </c>
      <c r="F73" s="3">
        <f>Table3[[#This Row],[Total Hours Nurse Staffing]]/Table3[[#This Row],[MDS Census]]</f>
        <v>5.0544040125885124</v>
      </c>
      <c r="G73" s="3">
        <f>Table3[[#This Row],[Total Direct Care Staff Hours]]/Table3[[#This Row],[MDS Census]]</f>
        <v>4.593448072383949</v>
      </c>
      <c r="H73" s="3">
        <f>Table3[[#This Row],[Total RN Hours (w/ Admin, DON)]]/Table3[[#This Row],[MDS Census]]</f>
        <v>1.3387863886703386</v>
      </c>
      <c r="I73" s="3">
        <f>Table3[[#This Row],[RN Hours (excl. Admin, DON)]]/Table3[[#This Row],[MDS Census]]</f>
        <v>0.87783044846577507</v>
      </c>
      <c r="J73" s="3">
        <f t="shared" si="1"/>
        <v>285.51766666666663</v>
      </c>
      <c r="K73" s="3">
        <f>SUM(Table3[[#This Row],[RN Hours (excl. Admin, DON)]], Table3[[#This Row],[LPN Hours (excl. Admin)]], Table3[[#This Row],[CNA Hours]], Table3[[#This Row],[NA TR Hours]], Table3[[#This Row],[Med Aide/Tech Hours]])</f>
        <v>259.47877777777774</v>
      </c>
      <c r="L73" s="3">
        <f>SUM(Table3[[#This Row],[RN Hours (excl. Admin, DON)]:[RN DON Hours]])</f>
        <v>75.626555555555569</v>
      </c>
      <c r="M73" s="3">
        <v>49.587666666666671</v>
      </c>
      <c r="N73" s="3">
        <v>19.75</v>
      </c>
      <c r="O73" s="3">
        <v>6.2888888888888888</v>
      </c>
      <c r="P73" s="3">
        <f>SUM(Table3[[#This Row],[LPN Hours (excl. Admin)]:[LPN Admin Hours]])</f>
        <v>50.187555555555555</v>
      </c>
      <c r="Q73" s="3">
        <v>50.187555555555555</v>
      </c>
      <c r="R73" s="3">
        <v>0</v>
      </c>
      <c r="S73" s="3">
        <f>SUM(Table3[[#This Row],[CNA Hours]], Table3[[#This Row],[NA TR Hours]], Table3[[#This Row],[Med Aide/Tech Hours]])</f>
        <v>159.70355555555554</v>
      </c>
      <c r="T73" s="3">
        <v>130.36288888888888</v>
      </c>
      <c r="U73" s="3">
        <v>24.78233333333333</v>
      </c>
      <c r="V73" s="3">
        <v>4.5583333333333336</v>
      </c>
      <c r="W73" s="3">
        <f>SUM(Table3[[#This Row],[RN Hours Contract]:[Med Aide Hours Contract]])</f>
        <v>33.983111111111114</v>
      </c>
      <c r="X73" s="3">
        <v>6.078666666666666</v>
      </c>
      <c r="Y73" s="3">
        <v>0</v>
      </c>
      <c r="Z73" s="3">
        <v>0</v>
      </c>
      <c r="AA73" s="3">
        <v>12.844444444444445</v>
      </c>
      <c r="AB73" s="3">
        <v>0</v>
      </c>
      <c r="AC73" s="3">
        <v>15.06</v>
      </c>
      <c r="AD73" s="3">
        <v>0</v>
      </c>
      <c r="AE73" s="3">
        <v>0</v>
      </c>
      <c r="AF73" t="s">
        <v>71</v>
      </c>
      <c r="AG73" s="13">
        <v>10</v>
      </c>
      <c r="AQ73"/>
    </row>
    <row r="74" spans="1:43" x14ac:dyDescent="0.2">
      <c r="A74" t="s">
        <v>128</v>
      </c>
      <c r="B74" t="s">
        <v>201</v>
      </c>
      <c r="C74" t="s">
        <v>303</v>
      </c>
      <c r="D74" t="s">
        <v>325</v>
      </c>
      <c r="E74" s="3">
        <v>25.677777777777777</v>
      </c>
      <c r="F74" s="3">
        <f>Table3[[#This Row],[Total Hours Nurse Staffing]]/Table3[[#This Row],[MDS Census]]</f>
        <v>4.5697749891821724</v>
      </c>
      <c r="G74" s="3">
        <f>Table3[[#This Row],[Total Direct Care Staff Hours]]/Table3[[#This Row],[MDS Census]]</f>
        <v>4.1958026828212889</v>
      </c>
      <c r="H74" s="3">
        <f>Table3[[#This Row],[Total RN Hours (w/ Admin, DON)]]/Table3[[#This Row],[MDS Census]]</f>
        <v>0.92784508870618776</v>
      </c>
      <c r="I74" s="3">
        <f>Table3[[#This Row],[RN Hours (excl. Admin, DON)]]/Table3[[#This Row],[MDS Census]]</f>
        <v>0.55387278234530501</v>
      </c>
      <c r="J74" s="3">
        <f t="shared" si="1"/>
        <v>117.34166666666667</v>
      </c>
      <c r="K74" s="3">
        <f>SUM(Table3[[#This Row],[RN Hours (excl. Admin, DON)]], Table3[[#This Row],[LPN Hours (excl. Admin)]], Table3[[#This Row],[CNA Hours]], Table3[[#This Row],[NA TR Hours]], Table3[[#This Row],[Med Aide/Tech Hours]])</f>
        <v>107.73888888888888</v>
      </c>
      <c r="L74" s="3">
        <f>SUM(Table3[[#This Row],[RN Hours (excl. Admin, DON)]:[RN DON Hours]])</f>
        <v>23.824999999999999</v>
      </c>
      <c r="M74" s="3">
        <v>14.222222222222221</v>
      </c>
      <c r="N74" s="3">
        <v>4.447222222222222</v>
      </c>
      <c r="O74" s="3">
        <v>5.1555555555555559</v>
      </c>
      <c r="P74" s="3">
        <f>SUM(Table3[[#This Row],[LPN Hours (excl. Admin)]:[LPN Admin Hours]])</f>
        <v>10.66388888888889</v>
      </c>
      <c r="Q74" s="3">
        <v>10.66388888888889</v>
      </c>
      <c r="R74" s="3">
        <v>0</v>
      </c>
      <c r="S74" s="3">
        <f>SUM(Table3[[#This Row],[CNA Hours]], Table3[[#This Row],[NA TR Hours]], Table3[[#This Row],[Med Aide/Tech Hours]])</f>
        <v>82.852777777777774</v>
      </c>
      <c r="T74" s="3">
        <v>68.75277777777778</v>
      </c>
      <c r="U74" s="3">
        <v>0</v>
      </c>
      <c r="V74" s="3">
        <v>14.1</v>
      </c>
      <c r="W74" s="3">
        <f>SUM(Table3[[#This Row],[RN Hours Contract]:[Med Aide Hours Contract]])</f>
        <v>0</v>
      </c>
      <c r="X74" s="3">
        <v>0</v>
      </c>
      <c r="Y74" s="3">
        <v>0</v>
      </c>
      <c r="Z74" s="3">
        <v>0</v>
      </c>
      <c r="AA74" s="3">
        <v>0</v>
      </c>
      <c r="AB74" s="3">
        <v>0</v>
      </c>
      <c r="AC74" s="3">
        <v>0</v>
      </c>
      <c r="AD74" s="3">
        <v>0</v>
      </c>
      <c r="AE74" s="3">
        <v>0</v>
      </c>
      <c r="AF74" t="s">
        <v>72</v>
      </c>
      <c r="AG74" s="13">
        <v>10</v>
      </c>
      <c r="AQ74"/>
    </row>
    <row r="75" spans="1:43" x14ac:dyDescent="0.2">
      <c r="A75" t="s">
        <v>128</v>
      </c>
      <c r="B75" t="s">
        <v>202</v>
      </c>
      <c r="C75" t="s">
        <v>263</v>
      </c>
      <c r="D75" t="s">
        <v>334</v>
      </c>
      <c r="E75" s="3">
        <v>56.222222222222221</v>
      </c>
      <c r="F75" s="3">
        <f>Table3[[#This Row],[Total Hours Nurse Staffing]]/Table3[[#This Row],[MDS Census]]</f>
        <v>5.3005434782608694</v>
      </c>
      <c r="G75" s="3">
        <f>Table3[[#This Row],[Total Direct Care Staff Hours]]/Table3[[#This Row],[MDS Census]]</f>
        <v>4.927420948616601</v>
      </c>
      <c r="H75" s="3">
        <f>Table3[[#This Row],[Total RN Hours (w/ Admin, DON)]]/Table3[[#This Row],[MDS Census]]</f>
        <v>2.2490118577075098</v>
      </c>
      <c r="I75" s="3">
        <f>Table3[[#This Row],[RN Hours (excl. Admin, DON)]]/Table3[[#This Row],[MDS Census]]</f>
        <v>1.8758893280632412</v>
      </c>
      <c r="J75" s="3">
        <f t="shared" si="1"/>
        <v>298.00833333333333</v>
      </c>
      <c r="K75" s="3">
        <f>SUM(Table3[[#This Row],[RN Hours (excl. Admin, DON)]], Table3[[#This Row],[LPN Hours (excl. Admin)]], Table3[[#This Row],[CNA Hours]], Table3[[#This Row],[NA TR Hours]], Table3[[#This Row],[Med Aide/Tech Hours]])</f>
        <v>277.03055555555557</v>
      </c>
      <c r="L75" s="3">
        <f>SUM(Table3[[#This Row],[RN Hours (excl. Admin, DON)]:[RN DON Hours]])</f>
        <v>126.44444444444444</v>
      </c>
      <c r="M75" s="3">
        <v>105.46666666666667</v>
      </c>
      <c r="N75" s="3">
        <v>16.8</v>
      </c>
      <c r="O75" s="3">
        <v>4.177777777777778</v>
      </c>
      <c r="P75" s="3">
        <f>SUM(Table3[[#This Row],[LPN Hours (excl. Admin)]:[LPN Admin Hours]])</f>
        <v>10.877777777777778</v>
      </c>
      <c r="Q75" s="3">
        <v>10.877777777777778</v>
      </c>
      <c r="R75" s="3">
        <v>0</v>
      </c>
      <c r="S75" s="3">
        <f>SUM(Table3[[#This Row],[CNA Hours]], Table3[[#This Row],[NA TR Hours]], Table3[[#This Row],[Med Aide/Tech Hours]])</f>
        <v>160.68611111111113</v>
      </c>
      <c r="T75" s="3">
        <v>118.06111111111112</v>
      </c>
      <c r="U75" s="3">
        <v>42.625</v>
      </c>
      <c r="V75" s="3">
        <v>0</v>
      </c>
      <c r="W75" s="3">
        <f>SUM(Table3[[#This Row],[RN Hours Contract]:[Med Aide Hours Contract]])</f>
        <v>0</v>
      </c>
      <c r="X75" s="3">
        <v>0</v>
      </c>
      <c r="Y75" s="3">
        <v>0</v>
      </c>
      <c r="Z75" s="3">
        <v>0</v>
      </c>
      <c r="AA75" s="3">
        <v>0</v>
      </c>
      <c r="AB75" s="3">
        <v>0</v>
      </c>
      <c r="AC75" s="3">
        <v>0</v>
      </c>
      <c r="AD75" s="3">
        <v>0</v>
      </c>
      <c r="AE75" s="3">
        <v>0</v>
      </c>
      <c r="AF75" t="s">
        <v>73</v>
      </c>
      <c r="AG75" s="13">
        <v>10</v>
      </c>
      <c r="AQ75"/>
    </row>
    <row r="76" spans="1:43" x14ac:dyDescent="0.2">
      <c r="A76" t="s">
        <v>128</v>
      </c>
      <c r="B76" t="s">
        <v>203</v>
      </c>
      <c r="C76" t="s">
        <v>266</v>
      </c>
      <c r="D76" t="s">
        <v>321</v>
      </c>
      <c r="E76" s="3">
        <v>43.922222222222224</v>
      </c>
      <c r="F76" s="3">
        <f>Table3[[#This Row],[Total Hours Nurse Staffing]]/Table3[[#This Row],[MDS Census]]</f>
        <v>4.6290159372628379</v>
      </c>
      <c r="G76" s="3">
        <f>Table3[[#This Row],[Total Direct Care Staff Hours]]/Table3[[#This Row],[MDS Census]]</f>
        <v>4.0631798633948897</v>
      </c>
      <c r="H76" s="3">
        <f>Table3[[#This Row],[Total RN Hours (w/ Admin, DON)]]/Table3[[#This Row],[MDS Census]]</f>
        <v>0.80590690614722982</v>
      </c>
      <c r="I76" s="3">
        <f>Table3[[#This Row],[RN Hours (excl. Admin, DON)]]/Table3[[#This Row],[MDS Census]]</f>
        <v>0.3463824943081204</v>
      </c>
      <c r="J76" s="3">
        <f t="shared" si="1"/>
        <v>203.31666666666666</v>
      </c>
      <c r="K76" s="3">
        <f>SUM(Table3[[#This Row],[RN Hours (excl. Admin, DON)]], Table3[[#This Row],[LPN Hours (excl. Admin)]], Table3[[#This Row],[CNA Hours]], Table3[[#This Row],[NA TR Hours]], Table3[[#This Row],[Med Aide/Tech Hours]])</f>
        <v>178.4638888888889</v>
      </c>
      <c r="L76" s="3">
        <f>SUM(Table3[[#This Row],[RN Hours (excl. Admin, DON)]:[RN DON Hours]])</f>
        <v>35.397222222222219</v>
      </c>
      <c r="M76" s="3">
        <v>15.213888888888889</v>
      </c>
      <c r="N76" s="3">
        <v>14.827777777777778</v>
      </c>
      <c r="O76" s="3">
        <v>5.3555555555555552</v>
      </c>
      <c r="P76" s="3">
        <f>SUM(Table3[[#This Row],[LPN Hours (excl. Admin)]:[LPN Admin Hours]])</f>
        <v>38.411111111111111</v>
      </c>
      <c r="Q76" s="3">
        <v>33.741666666666667</v>
      </c>
      <c r="R76" s="3">
        <v>4.6694444444444443</v>
      </c>
      <c r="S76" s="3">
        <f>SUM(Table3[[#This Row],[CNA Hours]], Table3[[#This Row],[NA TR Hours]], Table3[[#This Row],[Med Aide/Tech Hours]])</f>
        <v>129.50833333333333</v>
      </c>
      <c r="T76" s="3">
        <v>109.39722222222223</v>
      </c>
      <c r="U76" s="3">
        <v>9.4194444444444443</v>
      </c>
      <c r="V76" s="3">
        <v>10.691666666666666</v>
      </c>
      <c r="W76" s="3">
        <f>SUM(Table3[[#This Row],[RN Hours Contract]:[Med Aide Hours Contract]])</f>
        <v>13.75</v>
      </c>
      <c r="X76" s="3">
        <v>0</v>
      </c>
      <c r="Y76" s="3">
        <v>0</v>
      </c>
      <c r="Z76" s="3">
        <v>0</v>
      </c>
      <c r="AA76" s="3">
        <v>0</v>
      </c>
      <c r="AB76" s="3">
        <v>0</v>
      </c>
      <c r="AC76" s="3">
        <v>13.75</v>
      </c>
      <c r="AD76" s="3">
        <v>0</v>
      </c>
      <c r="AE76" s="3">
        <v>0</v>
      </c>
      <c r="AF76" t="s">
        <v>74</v>
      </c>
      <c r="AG76" s="13">
        <v>10</v>
      </c>
      <c r="AQ76"/>
    </row>
    <row r="77" spans="1:43" x14ac:dyDescent="0.2">
      <c r="A77" t="s">
        <v>128</v>
      </c>
      <c r="B77" t="s">
        <v>204</v>
      </c>
      <c r="C77" t="s">
        <v>263</v>
      </c>
      <c r="D77" t="s">
        <v>334</v>
      </c>
      <c r="E77" s="3">
        <v>55.8</v>
      </c>
      <c r="F77" s="3">
        <f>Table3[[#This Row],[Total Hours Nurse Staffing]]/Table3[[#This Row],[MDS Census]]</f>
        <v>4.4867084826762254</v>
      </c>
      <c r="G77" s="3">
        <f>Table3[[#This Row],[Total Direct Care Staff Hours]]/Table3[[#This Row],[MDS Census]]</f>
        <v>4.0400736758263642</v>
      </c>
      <c r="H77" s="3">
        <f>Table3[[#This Row],[Total RN Hours (w/ Admin, DON)]]/Table3[[#This Row],[MDS Census]]</f>
        <v>1.3368180007964954</v>
      </c>
      <c r="I77" s="3">
        <f>Table3[[#This Row],[RN Hours (excl. Admin, DON)]]/Table3[[#This Row],[MDS Census]]</f>
        <v>0.89018319394663492</v>
      </c>
      <c r="J77" s="3">
        <f t="shared" si="1"/>
        <v>250.35833333333335</v>
      </c>
      <c r="K77" s="3">
        <f>SUM(Table3[[#This Row],[RN Hours (excl. Admin, DON)]], Table3[[#This Row],[LPN Hours (excl. Admin)]], Table3[[#This Row],[CNA Hours]], Table3[[#This Row],[NA TR Hours]], Table3[[#This Row],[Med Aide/Tech Hours]])</f>
        <v>225.4361111111111</v>
      </c>
      <c r="L77" s="3">
        <f>SUM(Table3[[#This Row],[RN Hours (excl. Admin, DON)]:[RN DON Hours]])</f>
        <v>74.594444444444434</v>
      </c>
      <c r="M77" s="3">
        <v>49.672222222222224</v>
      </c>
      <c r="N77" s="3">
        <v>19.322222222222223</v>
      </c>
      <c r="O77" s="3">
        <v>5.6</v>
      </c>
      <c r="P77" s="3">
        <f>SUM(Table3[[#This Row],[LPN Hours (excl. Admin)]:[LPN Admin Hours]])</f>
        <v>17.094444444444445</v>
      </c>
      <c r="Q77" s="3">
        <v>17.094444444444445</v>
      </c>
      <c r="R77" s="3">
        <v>0</v>
      </c>
      <c r="S77" s="3">
        <f>SUM(Table3[[#This Row],[CNA Hours]], Table3[[#This Row],[NA TR Hours]], Table3[[#This Row],[Med Aide/Tech Hours]])</f>
        <v>158.66944444444445</v>
      </c>
      <c r="T77" s="3">
        <v>128.09444444444443</v>
      </c>
      <c r="U77" s="3">
        <v>18.069444444444443</v>
      </c>
      <c r="V77" s="3">
        <v>12.505555555555556</v>
      </c>
      <c r="W77" s="3">
        <f>SUM(Table3[[#This Row],[RN Hours Contract]:[Med Aide Hours Contract]])</f>
        <v>0</v>
      </c>
      <c r="X77" s="3">
        <v>0</v>
      </c>
      <c r="Y77" s="3">
        <v>0</v>
      </c>
      <c r="Z77" s="3">
        <v>0</v>
      </c>
      <c r="AA77" s="3">
        <v>0</v>
      </c>
      <c r="AB77" s="3">
        <v>0</v>
      </c>
      <c r="AC77" s="3">
        <v>0</v>
      </c>
      <c r="AD77" s="3">
        <v>0</v>
      </c>
      <c r="AE77" s="3">
        <v>0</v>
      </c>
      <c r="AF77" t="s">
        <v>75</v>
      </c>
      <c r="AG77" s="13">
        <v>10</v>
      </c>
      <c r="AQ77"/>
    </row>
    <row r="78" spans="1:43" x14ac:dyDescent="0.2">
      <c r="A78" t="s">
        <v>128</v>
      </c>
      <c r="B78" t="s">
        <v>205</v>
      </c>
      <c r="C78" t="s">
        <v>265</v>
      </c>
      <c r="D78" t="s">
        <v>331</v>
      </c>
      <c r="E78" s="3">
        <v>38.366666666666667</v>
      </c>
      <c r="F78" s="3">
        <f>Table3[[#This Row],[Total Hours Nurse Staffing]]/Table3[[#This Row],[MDS Census]]</f>
        <v>4.5429800173761938</v>
      </c>
      <c r="G78" s="3">
        <f>Table3[[#This Row],[Total Direct Care Staff Hours]]/Table3[[#This Row],[MDS Census]]</f>
        <v>4.3691977990153488</v>
      </c>
      <c r="H78" s="3">
        <f>Table3[[#This Row],[Total RN Hours (w/ Admin, DON)]]/Table3[[#This Row],[MDS Census]]</f>
        <v>0.34303793802490595</v>
      </c>
      <c r="I78" s="3">
        <f>Table3[[#This Row],[RN Hours (excl. Admin, DON)]]/Table3[[#This Row],[MDS Census]]</f>
        <v>0.16925571966406025</v>
      </c>
      <c r="J78" s="3">
        <f t="shared" si="1"/>
        <v>174.29899999999998</v>
      </c>
      <c r="K78" s="3">
        <f>SUM(Table3[[#This Row],[RN Hours (excl. Admin, DON)]], Table3[[#This Row],[LPN Hours (excl. Admin)]], Table3[[#This Row],[CNA Hours]], Table3[[#This Row],[NA TR Hours]], Table3[[#This Row],[Med Aide/Tech Hours]])</f>
        <v>167.63155555555556</v>
      </c>
      <c r="L78" s="3">
        <f>SUM(Table3[[#This Row],[RN Hours (excl. Admin, DON)]:[RN DON Hours]])</f>
        <v>13.161222222222225</v>
      </c>
      <c r="M78" s="3">
        <v>6.4937777777777788</v>
      </c>
      <c r="N78" s="3">
        <v>2.117777777777778</v>
      </c>
      <c r="O78" s="3">
        <v>4.5496666666666679</v>
      </c>
      <c r="P78" s="3">
        <f>SUM(Table3[[#This Row],[LPN Hours (excl. Admin)]:[LPN Admin Hours]])</f>
        <v>44.667333333333332</v>
      </c>
      <c r="Q78" s="3">
        <v>44.667333333333332</v>
      </c>
      <c r="R78" s="3">
        <v>0</v>
      </c>
      <c r="S78" s="3">
        <f>SUM(Table3[[#This Row],[CNA Hours]], Table3[[#This Row],[NA TR Hours]], Table3[[#This Row],[Med Aide/Tech Hours]])</f>
        <v>116.47044444444444</v>
      </c>
      <c r="T78" s="3">
        <v>116.47044444444444</v>
      </c>
      <c r="U78" s="3">
        <v>0</v>
      </c>
      <c r="V78" s="3">
        <v>0</v>
      </c>
      <c r="W78" s="3">
        <f>SUM(Table3[[#This Row],[RN Hours Contract]:[Med Aide Hours Contract]])</f>
        <v>0.17777777777777778</v>
      </c>
      <c r="X78" s="3">
        <v>0.17777777777777778</v>
      </c>
      <c r="Y78" s="3">
        <v>0</v>
      </c>
      <c r="Z78" s="3">
        <v>0</v>
      </c>
      <c r="AA78" s="3">
        <v>0</v>
      </c>
      <c r="AB78" s="3">
        <v>0</v>
      </c>
      <c r="AC78" s="3">
        <v>0</v>
      </c>
      <c r="AD78" s="3">
        <v>0</v>
      </c>
      <c r="AE78" s="3">
        <v>0</v>
      </c>
      <c r="AF78" t="s">
        <v>76</v>
      </c>
      <c r="AG78" s="13">
        <v>10</v>
      </c>
      <c r="AQ78"/>
    </row>
    <row r="79" spans="1:43" x14ac:dyDescent="0.2">
      <c r="A79" t="s">
        <v>128</v>
      </c>
      <c r="B79" t="s">
        <v>206</v>
      </c>
      <c r="C79" t="s">
        <v>286</v>
      </c>
      <c r="D79" t="s">
        <v>339</v>
      </c>
      <c r="E79" s="3">
        <v>53.477777777777774</v>
      </c>
      <c r="F79" s="3">
        <f>Table3[[#This Row],[Total Hours Nurse Staffing]]/Table3[[#This Row],[MDS Census]]</f>
        <v>4.962757116143778</v>
      </c>
      <c r="G79" s="3">
        <f>Table3[[#This Row],[Total Direct Care Staff Hours]]/Table3[[#This Row],[MDS Census]]</f>
        <v>4.5757843340951592</v>
      </c>
      <c r="H79" s="3">
        <f>Table3[[#This Row],[Total RN Hours (w/ Admin, DON)]]/Table3[[#This Row],[MDS Census]]</f>
        <v>1.0613962185746937</v>
      </c>
      <c r="I79" s="3">
        <f>Table3[[#This Row],[RN Hours (excl. Admin, DON)]]/Table3[[#This Row],[MDS Census]]</f>
        <v>0.67442343652607528</v>
      </c>
      <c r="J79" s="3">
        <f t="shared" si="1"/>
        <v>265.39722222222224</v>
      </c>
      <c r="K79" s="3">
        <f>SUM(Table3[[#This Row],[RN Hours (excl. Admin, DON)]], Table3[[#This Row],[LPN Hours (excl. Admin)]], Table3[[#This Row],[CNA Hours]], Table3[[#This Row],[NA TR Hours]], Table3[[#This Row],[Med Aide/Tech Hours]])</f>
        <v>244.70277777777778</v>
      </c>
      <c r="L79" s="3">
        <f>SUM(Table3[[#This Row],[RN Hours (excl. Admin, DON)]:[RN DON Hours]])</f>
        <v>56.761111111111113</v>
      </c>
      <c r="M79" s="3">
        <v>36.06666666666667</v>
      </c>
      <c r="N79" s="3">
        <v>15.516666666666667</v>
      </c>
      <c r="O79" s="3">
        <v>5.177777777777778</v>
      </c>
      <c r="P79" s="3">
        <f>SUM(Table3[[#This Row],[LPN Hours (excl. Admin)]:[LPN Admin Hours]])</f>
        <v>27.074999999999999</v>
      </c>
      <c r="Q79" s="3">
        <v>27.074999999999999</v>
      </c>
      <c r="R79" s="3">
        <v>0</v>
      </c>
      <c r="S79" s="3">
        <f>SUM(Table3[[#This Row],[CNA Hours]], Table3[[#This Row],[NA TR Hours]], Table3[[#This Row],[Med Aide/Tech Hours]])</f>
        <v>181.5611111111111</v>
      </c>
      <c r="T79" s="3">
        <v>141.27222222222221</v>
      </c>
      <c r="U79" s="3">
        <v>16.794444444444444</v>
      </c>
      <c r="V79" s="3">
        <v>23.494444444444444</v>
      </c>
      <c r="W79" s="3">
        <f>SUM(Table3[[#This Row],[RN Hours Contract]:[Med Aide Hours Contract]])</f>
        <v>0</v>
      </c>
      <c r="X79" s="3">
        <v>0</v>
      </c>
      <c r="Y79" s="3">
        <v>0</v>
      </c>
      <c r="Z79" s="3">
        <v>0</v>
      </c>
      <c r="AA79" s="3">
        <v>0</v>
      </c>
      <c r="AB79" s="3">
        <v>0</v>
      </c>
      <c r="AC79" s="3">
        <v>0</v>
      </c>
      <c r="AD79" s="3">
        <v>0</v>
      </c>
      <c r="AE79" s="3">
        <v>0</v>
      </c>
      <c r="AF79" t="s">
        <v>77</v>
      </c>
      <c r="AG79" s="13">
        <v>10</v>
      </c>
      <c r="AQ79"/>
    </row>
    <row r="80" spans="1:43" x14ac:dyDescent="0.2">
      <c r="A80" t="s">
        <v>128</v>
      </c>
      <c r="B80" t="s">
        <v>207</v>
      </c>
      <c r="C80" t="s">
        <v>304</v>
      </c>
      <c r="D80" t="s">
        <v>324</v>
      </c>
      <c r="E80" s="3">
        <v>23.3</v>
      </c>
      <c r="F80" s="3">
        <f>Table3[[#This Row],[Total Hours Nurse Staffing]]/Table3[[#This Row],[MDS Census]]</f>
        <v>5.3041487839771104</v>
      </c>
      <c r="G80" s="3">
        <f>Table3[[#This Row],[Total Direct Care Staff Hours]]/Table3[[#This Row],[MDS Census]]</f>
        <v>5.0981735813066287</v>
      </c>
      <c r="H80" s="3">
        <f>Table3[[#This Row],[Total RN Hours (w/ Admin, DON)]]/Table3[[#This Row],[MDS Census]]</f>
        <v>0.75445875059608969</v>
      </c>
      <c r="I80" s="3">
        <f>Table3[[#This Row],[RN Hours (excl. Admin, DON)]]/Table3[[#This Row],[MDS Census]]</f>
        <v>0.54848354792560805</v>
      </c>
      <c r="J80" s="3">
        <f t="shared" si="1"/>
        <v>123.58666666666667</v>
      </c>
      <c r="K80" s="3">
        <f>SUM(Table3[[#This Row],[RN Hours (excl. Admin, DON)]], Table3[[#This Row],[LPN Hours (excl. Admin)]], Table3[[#This Row],[CNA Hours]], Table3[[#This Row],[NA TR Hours]], Table3[[#This Row],[Med Aide/Tech Hours]])</f>
        <v>118.78744444444445</v>
      </c>
      <c r="L80" s="3">
        <f>SUM(Table3[[#This Row],[RN Hours (excl. Admin, DON)]:[RN DON Hours]])</f>
        <v>17.578888888888891</v>
      </c>
      <c r="M80" s="3">
        <v>12.779666666666667</v>
      </c>
      <c r="N80" s="3">
        <v>0</v>
      </c>
      <c r="O80" s="3">
        <v>4.7992222222222214</v>
      </c>
      <c r="P80" s="3">
        <f>SUM(Table3[[#This Row],[LPN Hours (excl. Admin)]:[LPN Admin Hours]])</f>
        <v>20.512</v>
      </c>
      <c r="Q80" s="3">
        <v>20.512</v>
      </c>
      <c r="R80" s="3">
        <v>0</v>
      </c>
      <c r="S80" s="3">
        <f>SUM(Table3[[#This Row],[CNA Hours]], Table3[[#This Row],[NA TR Hours]], Table3[[#This Row],[Med Aide/Tech Hours]])</f>
        <v>85.495777777777789</v>
      </c>
      <c r="T80" s="3">
        <v>70.325000000000003</v>
      </c>
      <c r="U80" s="3">
        <v>1.1744444444444446</v>
      </c>
      <c r="V80" s="3">
        <v>13.996333333333332</v>
      </c>
      <c r="W80" s="3">
        <f>SUM(Table3[[#This Row],[RN Hours Contract]:[Med Aide Hours Contract]])</f>
        <v>9.5555555555555546E-2</v>
      </c>
      <c r="X80" s="3">
        <v>9.5555555555555546E-2</v>
      </c>
      <c r="Y80" s="3">
        <v>0</v>
      </c>
      <c r="Z80" s="3">
        <v>0</v>
      </c>
      <c r="AA80" s="3">
        <v>0</v>
      </c>
      <c r="AB80" s="3">
        <v>0</v>
      </c>
      <c r="AC80" s="3">
        <v>0</v>
      </c>
      <c r="AD80" s="3">
        <v>0</v>
      </c>
      <c r="AE80" s="3">
        <v>0</v>
      </c>
      <c r="AF80" t="s">
        <v>78</v>
      </c>
      <c r="AG80" s="13">
        <v>10</v>
      </c>
      <c r="AQ80"/>
    </row>
    <row r="81" spans="1:43" x14ac:dyDescent="0.2">
      <c r="A81" t="s">
        <v>128</v>
      </c>
      <c r="B81" t="s">
        <v>208</v>
      </c>
      <c r="C81" t="s">
        <v>259</v>
      </c>
      <c r="D81" t="s">
        <v>322</v>
      </c>
      <c r="E81" s="3">
        <v>25.944444444444443</v>
      </c>
      <c r="F81" s="3">
        <f>Table3[[#This Row],[Total Hours Nurse Staffing]]/Table3[[#This Row],[MDS Census]]</f>
        <v>5.6797644539614573</v>
      </c>
      <c r="G81" s="3">
        <f>Table3[[#This Row],[Total Direct Care Staff Hours]]/Table3[[#This Row],[MDS Census]]</f>
        <v>4.9755888650963609</v>
      </c>
      <c r="H81" s="3">
        <f>Table3[[#This Row],[Total RN Hours (w/ Admin, DON)]]/Table3[[#This Row],[MDS Census]]</f>
        <v>0.88768736616702348</v>
      </c>
      <c r="I81" s="3">
        <f>Table3[[#This Row],[RN Hours (excl. Admin, DON)]]/Table3[[#This Row],[MDS Census]]</f>
        <v>0.37837259100642401</v>
      </c>
      <c r="J81" s="3">
        <f t="shared" si="1"/>
        <v>147.35833333333335</v>
      </c>
      <c r="K81" s="3">
        <f>SUM(Table3[[#This Row],[RN Hours (excl. Admin, DON)]], Table3[[#This Row],[LPN Hours (excl. Admin)]], Table3[[#This Row],[CNA Hours]], Table3[[#This Row],[NA TR Hours]], Table3[[#This Row],[Med Aide/Tech Hours]])</f>
        <v>129.0888888888889</v>
      </c>
      <c r="L81" s="3">
        <f>SUM(Table3[[#This Row],[RN Hours (excl. Admin, DON)]:[RN DON Hours]])</f>
        <v>23.030555555555551</v>
      </c>
      <c r="M81" s="3">
        <v>9.8166666666666664</v>
      </c>
      <c r="N81" s="3">
        <v>8.6805555555555554</v>
      </c>
      <c r="O81" s="3">
        <v>4.5333333333333332</v>
      </c>
      <c r="P81" s="3">
        <f>SUM(Table3[[#This Row],[LPN Hours (excl. Admin)]:[LPN Admin Hours]])</f>
        <v>29.530555555555559</v>
      </c>
      <c r="Q81" s="3">
        <v>24.475000000000001</v>
      </c>
      <c r="R81" s="3">
        <v>5.0555555555555554</v>
      </c>
      <c r="S81" s="3">
        <f>SUM(Table3[[#This Row],[CNA Hours]], Table3[[#This Row],[NA TR Hours]], Table3[[#This Row],[Med Aide/Tech Hours]])</f>
        <v>94.797222222222231</v>
      </c>
      <c r="T81" s="3">
        <v>83.613888888888894</v>
      </c>
      <c r="U81" s="3">
        <v>0</v>
      </c>
      <c r="V81" s="3">
        <v>11.183333333333334</v>
      </c>
      <c r="W81" s="3">
        <f>SUM(Table3[[#This Row],[RN Hours Contract]:[Med Aide Hours Contract]])</f>
        <v>18.716666666666665</v>
      </c>
      <c r="X81" s="3">
        <v>0</v>
      </c>
      <c r="Y81" s="3">
        <v>0</v>
      </c>
      <c r="Z81" s="3">
        <v>0</v>
      </c>
      <c r="AA81" s="3">
        <v>1.825</v>
      </c>
      <c r="AB81" s="3">
        <v>0</v>
      </c>
      <c r="AC81" s="3">
        <v>16.891666666666666</v>
      </c>
      <c r="AD81" s="3">
        <v>0</v>
      </c>
      <c r="AE81" s="3">
        <v>0</v>
      </c>
      <c r="AF81" t="s">
        <v>79</v>
      </c>
      <c r="AG81" s="13">
        <v>10</v>
      </c>
      <c r="AQ81"/>
    </row>
    <row r="82" spans="1:43" x14ac:dyDescent="0.2">
      <c r="A82" t="s">
        <v>128</v>
      </c>
      <c r="B82" t="s">
        <v>209</v>
      </c>
      <c r="C82" t="s">
        <v>298</v>
      </c>
      <c r="D82" t="s">
        <v>344</v>
      </c>
      <c r="E82" s="3">
        <v>43.8</v>
      </c>
      <c r="F82" s="3">
        <f>Table3[[#This Row],[Total Hours Nurse Staffing]]/Table3[[#This Row],[MDS Census]]</f>
        <v>4.7203018772196854</v>
      </c>
      <c r="G82" s="3">
        <f>Table3[[#This Row],[Total Direct Care Staff Hours]]/Table3[[#This Row],[MDS Census]]</f>
        <v>4.3124200913242019</v>
      </c>
      <c r="H82" s="3">
        <f>Table3[[#This Row],[Total RN Hours (w/ Admin, DON)]]/Table3[[#This Row],[MDS Census]]</f>
        <v>0.55366057838660587</v>
      </c>
      <c r="I82" s="3">
        <f>Table3[[#This Row],[RN Hours (excl. Admin, DON)]]/Table3[[#This Row],[MDS Census]]</f>
        <v>0.28729832572298325</v>
      </c>
      <c r="J82" s="3">
        <f t="shared" si="1"/>
        <v>206.74922222222222</v>
      </c>
      <c r="K82" s="3">
        <f>SUM(Table3[[#This Row],[RN Hours (excl. Admin, DON)]], Table3[[#This Row],[LPN Hours (excl. Admin)]], Table3[[#This Row],[CNA Hours]], Table3[[#This Row],[NA TR Hours]], Table3[[#This Row],[Med Aide/Tech Hours]])</f>
        <v>188.88400000000001</v>
      </c>
      <c r="L82" s="3">
        <f>SUM(Table3[[#This Row],[RN Hours (excl. Admin, DON)]:[RN DON Hours]])</f>
        <v>24.250333333333334</v>
      </c>
      <c r="M82" s="3">
        <v>12.583666666666666</v>
      </c>
      <c r="N82" s="3">
        <v>7.05</v>
      </c>
      <c r="O82" s="3">
        <v>4.6166666666666663</v>
      </c>
      <c r="P82" s="3">
        <f>SUM(Table3[[#This Row],[LPN Hours (excl. Admin)]:[LPN Admin Hours]])</f>
        <v>44.264000000000003</v>
      </c>
      <c r="Q82" s="3">
        <v>38.065444444444445</v>
      </c>
      <c r="R82" s="3">
        <v>6.1985555555555569</v>
      </c>
      <c r="S82" s="3">
        <f>SUM(Table3[[#This Row],[CNA Hours]], Table3[[#This Row],[NA TR Hours]], Table3[[#This Row],[Med Aide/Tech Hours]])</f>
        <v>138.23488888888889</v>
      </c>
      <c r="T82" s="3">
        <v>122.32344444444445</v>
      </c>
      <c r="U82" s="3">
        <v>4.2825555555555548</v>
      </c>
      <c r="V82" s="3">
        <v>11.628888888888888</v>
      </c>
      <c r="W82" s="3">
        <f>SUM(Table3[[#This Row],[RN Hours Contract]:[Med Aide Hours Contract]])</f>
        <v>0.34566666666666668</v>
      </c>
      <c r="X82" s="3">
        <v>0</v>
      </c>
      <c r="Y82" s="3">
        <v>0</v>
      </c>
      <c r="Z82" s="3">
        <v>0</v>
      </c>
      <c r="AA82" s="3">
        <v>0</v>
      </c>
      <c r="AB82" s="3">
        <v>0</v>
      </c>
      <c r="AC82" s="3">
        <v>0.21422222222222223</v>
      </c>
      <c r="AD82" s="3">
        <v>0</v>
      </c>
      <c r="AE82" s="3">
        <v>0.13144444444444445</v>
      </c>
      <c r="AF82" t="s">
        <v>80</v>
      </c>
      <c r="AG82" s="13">
        <v>10</v>
      </c>
      <c r="AQ82"/>
    </row>
    <row r="83" spans="1:43" x14ac:dyDescent="0.2">
      <c r="A83" t="s">
        <v>128</v>
      </c>
      <c r="B83" t="s">
        <v>210</v>
      </c>
      <c r="C83" t="s">
        <v>263</v>
      </c>
      <c r="D83" t="s">
        <v>334</v>
      </c>
      <c r="E83" s="3">
        <v>39.244444444444447</v>
      </c>
      <c r="F83" s="3">
        <f>Table3[[#This Row],[Total Hours Nurse Staffing]]/Table3[[#This Row],[MDS Census]]</f>
        <v>4.3408833522083805</v>
      </c>
      <c r="G83" s="3">
        <f>Table3[[#This Row],[Total Direct Care Staff Hours]]/Table3[[#This Row],[MDS Census]]</f>
        <v>3.7674830124575314</v>
      </c>
      <c r="H83" s="3">
        <f>Table3[[#This Row],[Total RN Hours (w/ Admin, DON)]]/Table3[[#This Row],[MDS Census]]</f>
        <v>0.77378255945639862</v>
      </c>
      <c r="I83" s="3">
        <f>Table3[[#This Row],[RN Hours (excl. Admin, DON)]]/Table3[[#This Row],[MDS Census]]</f>
        <v>0.36862967157417892</v>
      </c>
      <c r="J83" s="3">
        <f t="shared" si="1"/>
        <v>170.35555555555555</v>
      </c>
      <c r="K83" s="3">
        <f>SUM(Table3[[#This Row],[RN Hours (excl. Admin, DON)]], Table3[[#This Row],[LPN Hours (excl. Admin)]], Table3[[#This Row],[CNA Hours]], Table3[[#This Row],[NA TR Hours]], Table3[[#This Row],[Med Aide/Tech Hours]])</f>
        <v>147.85277777777779</v>
      </c>
      <c r="L83" s="3">
        <f>SUM(Table3[[#This Row],[RN Hours (excl. Admin, DON)]:[RN DON Hours]])</f>
        <v>30.366666666666667</v>
      </c>
      <c r="M83" s="3">
        <v>14.466666666666667</v>
      </c>
      <c r="N83" s="3">
        <v>11.622222222222222</v>
      </c>
      <c r="O83" s="3">
        <v>4.2777777777777777</v>
      </c>
      <c r="P83" s="3">
        <f>SUM(Table3[[#This Row],[LPN Hours (excl. Admin)]:[LPN Admin Hours]])</f>
        <v>28.85</v>
      </c>
      <c r="Q83" s="3">
        <v>22.247222222222224</v>
      </c>
      <c r="R83" s="3">
        <v>6.6027777777777779</v>
      </c>
      <c r="S83" s="3">
        <f>SUM(Table3[[#This Row],[CNA Hours]], Table3[[#This Row],[NA TR Hours]], Table3[[#This Row],[Med Aide/Tech Hours]])</f>
        <v>111.1388888888889</v>
      </c>
      <c r="T83" s="3">
        <v>84.202777777777783</v>
      </c>
      <c r="U83" s="3">
        <v>13.627777777777778</v>
      </c>
      <c r="V83" s="3">
        <v>13.308333333333334</v>
      </c>
      <c r="W83" s="3">
        <f>SUM(Table3[[#This Row],[RN Hours Contract]:[Med Aide Hours Contract]])</f>
        <v>5.4916666666666663</v>
      </c>
      <c r="X83" s="3">
        <v>0.51111111111111107</v>
      </c>
      <c r="Y83" s="3">
        <v>0</v>
      </c>
      <c r="Z83" s="3">
        <v>0</v>
      </c>
      <c r="AA83" s="3">
        <v>0.15277777777777779</v>
      </c>
      <c r="AB83" s="3">
        <v>0</v>
      </c>
      <c r="AC83" s="3">
        <v>4.8277777777777775</v>
      </c>
      <c r="AD83" s="3">
        <v>0</v>
      </c>
      <c r="AE83" s="3">
        <v>0</v>
      </c>
      <c r="AF83" t="s">
        <v>81</v>
      </c>
      <c r="AG83" s="13">
        <v>10</v>
      </c>
      <c r="AQ83"/>
    </row>
    <row r="84" spans="1:43" x14ac:dyDescent="0.2">
      <c r="A84" t="s">
        <v>128</v>
      </c>
      <c r="B84" t="s">
        <v>211</v>
      </c>
      <c r="C84" t="s">
        <v>271</v>
      </c>
      <c r="D84" t="s">
        <v>335</v>
      </c>
      <c r="E84" s="3">
        <v>36.466666666666669</v>
      </c>
      <c r="F84" s="3">
        <f>Table3[[#This Row],[Total Hours Nurse Staffing]]/Table3[[#This Row],[MDS Census]]</f>
        <v>4.6005484460694692</v>
      </c>
      <c r="G84" s="3">
        <f>Table3[[#This Row],[Total Direct Care Staff Hours]]/Table3[[#This Row],[MDS Census]]</f>
        <v>4.2995124923826937</v>
      </c>
      <c r="H84" s="3">
        <f>Table3[[#This Row],[Total RN Hours (w/ Admin, DON)]]/Table3[[#This Row],[MDS Census]]</f>
        <v>0.2121419865935405</v>
      </c>
      <c r="I84" s="3">
        <f>Table3[[#This Row],[RN Hours (excl. Admin, DON)]]/Table3[[#This Row],[MDS Census]]</f>
        <v>5.3625837903717243E-2</v>
      </c>
      <c r="J84" s="3">
        <f t="shared" si="1"/>
        <v>167.76666666666665</v>
      </c>
      <c r="K84" s="3">
        <f>SUM(Table3[[#This Row],[RN Hours (excl. Admin, DON)]], Table3[[#This Row],[LPN Hours (excl. Admin)]], Table3[[#This Row],[CNA Hours]], Table3[[#This Row],[NA TR Hours]], Table3[[#This Row],[Med Aide/Tech Hours]])</f>
        <v>156.78888888888889</v>
      </c>
      <c r="L84" s="3">
        <f>SUM(Table3[[#This Row],[RN Hours (excl. Admin, DON)]:[RN DON Hours]])</f>
        <v>7.7361111111111107</v>
      </c>
      <c r="M84" s="3">
        <v>1.9555555555555555</v>
      </c>
      <c r="N84" s="3">
        <v>0.18055555555555555</v>
      </c>
      <c r="O84" s="3">
        <v>5.6</v>
      </c>
      <c r="P84" s="3">
        <f>SUM(Table3[[#This Row],[LPN Hours (excl. Admin)]:[LPN Admin Hours]])</f>
        <v>42.161111111111111</v>
      </c>
      <c r="Q84" s="3">
        <v>36.963888888888889</v>
      </c>
      <c r="R84" s="3">
        <v>5.197222222222222</v>
      </c>
      <c r="S84" s="3">
        <f>SUM(Table3[[#This Row],[CNA Hours]], Table3[[#This Row],[NA TR Hours]], Table3[[#This Row],[Med Aide/Tech Hours]])</f>
        <v>117.86944444444444</v>
      </c>
      <c r="T84" s="3">
        <v>101.84444444444445</v>
      </c>
      <c r="U84" s="3">
        <v>2.3888888888888888</v>
      </c>
      <c r="V84" s="3">
        <v>13.636111111111111</v>
      </c>
      <c r="W84" s="3">
        <f>SUM(Table3[[#This Row],[RN Hours Contract]:[Med Aide Hours Contract]])</f>
        <v>0</v>
      </c>
      <c r="X84" s="3">
        <v>0</v>
      </c>
      <c r="Y84" s="3">
        <v>0</v>
      </c>
      <c r="Z84" s="3">
        <v>0</v>
      </c>
      <c r="AA84" s="3">
        <v>0</v>
      </c>
      <c r="AB84" s="3">
        <v>0</v>
      </c>
      <c r="AC84" s="3">
        <v>0</v>
      </c>
      <c r="AD84" s="3">
        <v>0</v>
      </c>
      <c r="AE84" s="3">
        <v>0</v>
      </c>
      <c r="AF84" t="s">
        <v>82</v>
      </c>
      <c r="AG84" s="13">
        <v>10</v>
      </c>
      <c r="AQ84"/>
    </row>
    <row r="85" spans="1:43" x14ac:dyDescent="0.2">
      <c r="A85" t="s">
        <v>128</v>
      </c>
      <c r="B85" t="s">
        <v>212</v>
      </c>
      <c r="C85" t="s">
        <v>305</v>
      </c>
      <c r="D85" t="s">
        <v>341</v>
      </c>
      <c r="E85" s="3">
        <v>29.711111111111112</v>
      </c>
      <c r="F85" s="3">
        <f>Table3[[#This Row],[Total Hours Nurse Staffing]]/Table3[[#This Row],[MDS Census]]</f>
        <v>4.9837172774869112</v>
      </c>
      <c r="G85" s="3">
        <f>Table3[[#This Row],[Total Direct Care Staff Hours]]/Table3[[#This Row],[MDS Census]]</f>
        <v>4.5262752430815247</v>
      </c>
      <c r="H85" s="3">
        <f>Table3[[#This Row],[Total RN Hours (w/ Admin, DON)]]/Table3[[#This Row],[MDS Census]]</f>
        <v>0.91071428571428592</v>
      </c>
      <c r="I85" s="3">
        <f>Table3[[#This Row],[RN Hours (excl. Admin, DON)]]/Table3[[#This Row],[MDS Census]]</f>
        <v>0.45903141361256544</v>
      </c>
      <c r="J85" s="3">
        <f t="shared" si="1"/>
        <v>148.07177777777778</v>
      </c>
      <c r="K85" s="3">
        <f>SUM(Table3[[#This Row],[RN Hours (excl. Admin, DON)]], Table3[[#This Row],[LPN Hours (excl. Admin)]], Table3[[#This Row],[CNA Hours]], Table3[[#This Row],[NA TR Hours]], Table3[[#This Row],[Med Aide/Tech Hours]])</f>
        <v>134.48066666666665</v>
      </c>
      <c r="L85" s="3">
        <f>SUM(Table3[[#This Row],[RN Hours (excl. Admin, DON)]:[RN DON Hours]])</f>
        <v>27.058333333333341</v>
      </c>
      <c r="M85" s="3">
        <v>13.638333333333334</v>
      </c>
      <c r="N85" s="3">
        <v>8.4830000000000023</v>
      </c>
      <c r="O85" s="3">
        <v>4.9370000000000038</v>
      </c>
      <c r="P85" s="3">
        <f>SUM(Table3[[#This Row],[LPN Hours (excl. Admin)]:[LPN Admin Hours]])</f>
        <v>30.870111111111108</v>
      </c>
      <c r="Q85" s="3">
        <v>30.698999999999998</v>
      </c>
      <c r="R85" s="3">
        <v>0.1711111111111111</v>
      </c>
      <c r="S85" s="3">
        <f>SUM(Table3[[#This Row],[CNA Hours]], Table3[[#This Row],[NA TR Hours]], Table3[[#This Row],[Med Aide/Tech Hours]])</f>
        <v>90.143333333333331</v>
      </c>
      <c r="T85" s="3">
        <v>89.296111111111102</v>
      </c>
      <c r="U85" s="3">
        <v>0</v>
      </c>
      <c r="V85" s="3">
        <v>0.84722222222222221</v>
      </c>
      <c r="W85" s="3">
        <f>SUM(Table3[[#This Row],[RN Hours Contract]:[Med Aide Hours Contract]])</f>
        <v>4.2527777777777782</v>
      </c>
      <c r="X85" s="3">
        <v>0.66666666666666663</v>
      </c>
      <c r="Y85" s="3">
        <v>0</v>
      </c>
      <c r="Z85" s="3">
        <v>0</v>
      </c>
      <c r="AA85" s="3">
        <v>0</v>
      </c>
      <c r="AB85" s="3">
        <v>0</v>
      </c>
      <c r="AC85" s="3">
        <v>3.5861111111111112</v>
      </c>
      <c r="AD85" s="3">
        <v>0</v>
      </c>
      <c r="AE85" s="3">
        <v>0</v>
      </c>
      <c r="AF85" t="s">
        <v>83</v>
      </c>
      <c r="AG85" s="13">
        <v>10</v>
      </c>
      <c r="AQ85"/>
    </row>
    <row r="86" spans="1:43" x14ac:dyDescent="0.2">
      <c r="A86" t="s">
        <v>128</v>
      </c>
      <c r="B86" t="s">
        <v>213</v>
      </c>
      <c r="C86" t="s">
        <v>283</v>
      </c>
      <c r="D86" t="s">
        <v>337</v>
      </c>
      <c r="E86" s="3">
        <v>26.833333333333332</v>
      </c>
      <c r="F86" s="3">
        <f>Table3[[#This Row],[Total Hours Nurse Staffing]]/Table3[[#This Row],[MDS Census]]</f>
        <v>4.2112795031055912</v>
      </c>
      <c r="G86" s="3">
        <f>Table3[[#This Row],[Total Direct Care Staff Hours]]/Table3[[#This Row],[MDS Census]]</f>
        <v>4.0422981366459636</v>
      </c>
      <c r="H86" s="3">
        <f>Table3[[#This Row],[Total RN Hours (w/ Admin, DON)]]/Table3[[#This Row],[MDS Census]]</f>
        <v>0.48927122153209124</v>
      </c>
      <c r="I86" s="3">
        <f>Table3[[#This Row],[RN Hours (excl. Admin, DON)]]/Table3[[#This Row],[MDS Census]]</f>
        <v>0.32028985507246382</v>
      </c>
      <c r="J86" s="3">
        <f t="shared" si="1"/>
        <v>113.00266666666668</v>
      </c>
      <c r="K86" s="3">
        <f>SUM(Table3[[#This Row],[RN Hours (excl. Admin, DON)]], Table3[[#This Row],[LPN Hours (excl. Admin)]], Table3[[#This Row],[CNA Hours]], Table3[[#This Row],[NA TR Hours]], Table3[[#This Row],[Med Aide/Tech Hours]])</f>
        <v>108.46833333333335</v>
      </c>
      <c r="L86" s="3">
        <f>SUM(Table3[[#This Row],[RN Hours (excl. Admin, DON)]:[RN DON Hours]])</f>
        <v>13.128777777777781</v>
      </c>
      <c r="M86" s="3">
        <v>8.594444444444445</v>
      </c>
      <c r="N86" s="3">
        <v>0</v>
      </c>
      <c r="O86" s="3">
        <v>4.5343333333333353</v>
      </c>
      <c r="P86" s="3">
        <f>SUM(Table3[[#This Row],[LPN Hours (excl. Admin)]:[LPN Admin Hours]])</f>
        <v>33.965333333333334</v>
      </c>
      <c r="Q86" s="3">
        <v>33.965333333333334</v>
      </c>
      <c r="R86" s="3">
        <v>0</v>
      </c>
      <c r="S86" s="3">
        <f>SUM(Table3[[#This Row],[CNA Hours]], Table3[[#This Row],[NA TR Hours]], Table3[[#This Row],[Med Aide/Tech Hours]])</f>
        <v>65.908555555555566</v>
      </c>
      <c r="T86" s="3">
        <v>65.908555555555566</v>
      </c>
      <c r="U86" s="3">
        <v>0</v>
      </c>
      <c r="V86" s="3">
        <v>0</v>
      </c>
      <c r="W86" s="3">
        <f>SUM(Table3[[#This Row],[RN Hours Contract]:[Med Aide Hours Contract]])</f>
        <v>16.026888888888891</v>
      </c>
      <c r="X86" s="3">
        <v>1.0222222222222221</v>
      </c>
      <c r="Y86" s="3">
        <v>0</v>
      </c>
      <c r="Z86" s="3">
        <v>0</v>
      </c>
      <c r="AA86" s="3">
        <v>1.9583333333333333</v>
      </c>
      <c r="AB86" s="3">
        <v>0</v>
      </c>
      <c r="AC86" s="3">
        <v>13.046333333333335</v>
      </c>
      <c r="AD86" s="3">
        <v>0</v>
      </c>
      <c r="AE86" s="3">
        <v>0</v>
      </c>
      <c r="AF86" t="s">
        <v>84</v>
      </c>
      <c r="AG86" s="13">
        <v>10</v>
      </c>
      <c r="AQ86"/>
    </row>
    <row r="87" spans="1:43" x14ac:dyDescent="0.2">
      <c r="A87" t="s">
        <v>128</v>
      </c>
      <c r="B87" t="s">
        <v>214</v>
      </c>
      <c r="C87" t="s">
        <v>306</v>
      </c>
      <c r="D87" t="s">
        <v>322</v>
      </c>
      <c r="E87" s="3">
        <v>51.511111111111113</v>
      </c>
      <c r="F87" s="3">
        <f>Table3[[#This Row],[Total Hours Nurse Staffing]]/Table3[[#This Row],[MDS Census]]</f>
        <v>5.234792924935288</v>
      </c>
      <c r="G87" s="3">
        <f>Table3[[#This Row],[Total Direct Care Staff Hours]]/Table3[[#This Row],[MDS Census]]</f>
        <v>4.9256363244176011</v>
      </c>
      <c r="H87" s="3">
        <f>Table3[[#This Row],[Total RN Hours (w/ Admin, DON)]]/Table3[[#This Row],[MDS Census]]</f>
        <v>0.788718723037101</v>
      </c>
      <c r="I87" s="3">
        <f>Table3[[#This Row],[RN Hours (excl. Admin, DON)]]/Table3[[#This Row],[MDS Census]]</f>
        <v>0.56676013805004311</v>
      </c>
      <c r="J87" s="3">
        <f t="shared" si="1"/>
        <v>269.64999999999998</v>
      </c>
      <c r="K87" s="3">
        <f>SUM(Table3[[#This Row],[RN Hours (excl. Admin, DON)]], Table3[[#This Row],[LPN Hours (excl. Admin)]], Table3[[#This Row],[CNA Hours]], Table3[[#This Row],[NA TR Hours]], Table3[[#This Row],[Med Aide/Tech Hours]])</f>
        <v>253.72499999999999</v>
      </c>
      <c r="L87" s="3">
        <f>SUM(Table3[[#This Row],[RN Hours (excl. Admin, DON)]:[RN DON Hours]])</f>
        <v>40.62777777777778</v>
      </c>
      <c r="M87" s="3">
        <v>29.194444444444443</v>
      </c>
      <c r="N87" s="3">
        <v>5.833333333333333</v>
      </c>
      <c r="O87" s="3">
        <v>5.6</v>
      </c>
      <c r="P87" s="3">
        <f>SUM(Table3[[#This Row],[LPN Hours (excl. Admin)]:[LPN Admin Hours]])</f>
        <v>67.922222222222217</v>
      </c>
      <c r="Q87" s="3">
        <v>63.430555555555557</v>
      </c>
      <c r="R87" s="3">
        <v>4.4916666666666663</v>
      </c>
      <c r="S87" s="3">
        <f>SUM(Table3[[#This Row],[CNA Hours]], Table3[[#This Row],[NA TR Hours]], Table3[[#This Row],[Med Aide/Tech Hours]])</f>
        <v>161.1</v>
      </c>
      <c r="T87" s="3">
        <v>152.80277777777778</v>
      </c>
      <c r="U87" s="3">
        <v>0</v>
      </c>
      <c r="V87" s="3">
        <v>8.2972222222222225</v>
      </c>
      <c r="W87" s="3">
        <f>SUM(Table3[[#This Row],[RN Hours Contract]:[Med Aide Hours Contract]])</f>
        <v>0</v>
      </c>
      <c r="X87" s="3">
        <v>0</v>
      </c>
      <c r="Y87" s="3">
        <v>0</v>
      </c>
      <c r="Z87" s="3">
        <v>0</v>
      </c>
      <c r="AA87" s="3">
        <v>0</v>
      </c>
      <c r="AB87" s="3">
        <v>0</v>
      </c>
      <c r="AC87" s="3">
        <v>0</v>
      </c>
      <c r="AD87" s="3">
        <v>0</v>
      </c>
      <c r="AE87" s="3">
        <v>0</v>
      </c>
      <c r="AF87" t="s">
        <v>85</v>
      </c>
      <c r="AG87" s="13">
        <v>10</v>
      </c>
      <c r="AQ87"/>
    </row>
    <row r="88" spans="1:43" x14ac:dyDescent="0.2">
      <c r="A88" t="s">
        <v>128</v>
      </c>
      <c r="B88" t="s">
        <v>215</v>
      </c>
      <c r="C88" t="s">
        <v>259</v>
      </c>
      <c r="D88" t="s">
        <v>322</v>
      </c>
      <c r="E88" s="3">
        <v>57.2</v>
      </c>
      <c r="F88" s="3">
        <f>Table3[[#This Row],[Total Hours Nurse Staffing]]/Table3[[#This Row],[MDS Census]]</f>
        <v>5.6499611499611504</v>
      </c>
      <c r="G88" s="3">
        <f>Table3[[#This Row],[Total Direct Care Staff Hours]]/Table3[[#This Row],[MDS Census]]</f>
        <v>5.3848581973581968</v>
      </c>
      <c r="H88" s="3">
        <f>Table3[[#This Row],[Total RN Hours (w/ Admin, DON)]]/Table3[[#This Row],[MDS Census]]</f>
        <v>0.65637140637140634</v>
      </c>
      <c r="I88" s="3">
        <f>Table3[[#This Row],[RN Hours (excl. Admin, DON)]]/Table3[[#This Row],[MDS Census]]</f>
        <v>0.39126845376845376</v>
      </c>
      <c r="J88" s="3">
        <f t="shared" si="1"/>
        <v>323.17777777777781</v>
      </c>
      <c r="K88" s="3">
        <f>SUM(Table3[[#This Row],[RN Hours (excl. Admin, DON)]], Table3[[#This Row],[LPN Hours (excl. Admin)]], Table3[[#This Row],[CNA Hours]], Table3[[#This Row],[NA TR Hours]], Table3[[#This Row],[Med Aide/Tech Hours]])</f>
        <v>308.01388888888886</v>
      </c>
      <c r="L88" s="3">
        <f>SUM(Table3[[#This Row],[RN Hours (excl. Admin, DON)]:[RN DON Hours]])</f>
        <v>37.544444444444444</v>
      </c>
      <c r="M88" s="3">
        <v>22.380555555555556</v>
      </c>
      <c r="N88" s="3">
        <v>9.7416666666666671</v>
      </c>
      <c r="O88" s="3">
        <v>5.4222222222222225</v>
      </c>
      <c r="P88" s="3">
        <f>SUM(Table3[[#This Row],[LPN Hours (excl. Admin)]:[LPN Admin Hours]])</f>
        <v>97.680555555555557</v>
      </c>
      <c r="Q88" s="3">
        <v>97.680555555555557</v>
      </c>
      <c r="R88" s="3">
        <v>0</v>
      </c>
      <c r="S88" s="3">
        <f>SUM(Table3[[#This Row],[CNA Hours]], Table3[[#This Row],[NA TR Hours]], Table3[[#This Row],[Med Aide/Tech Hours]])</f>
        <v>187.95277777777778</v>
      </c>
      <c r="T88" s="3">
        <v>155.36111111111111</v>
      </c>
      <c r="U88" s="3">
        <v>3.9972222222222222</v>
      </c>
      <c r="V88" s="3">
        <v>28.594444444444445</v>
      </c>
      <c r="W88" s="3">
        <f>SUM(Table3[[#This Row],[RN Hours Contract]:[Med Aide Hours Contract]])</f>
        <v>0</v>
      </c>
      <c r="X88" s="3">
        <v>0</v>
      </c>
      <c r="Y88" s="3">
        <v>0</v>
      </c>
      <c r="Z88" s="3">
        <v>0</v>
      </c>
      <c r="AA88" s="3">
        <v>0</v>
      </c>
      <c r="AB88" s="3">
        <v>0</v>
      </c>
      <c r="AC88" s="3">
        <v>0</v>
      </c>
      <c r="AD88" s="3">
        <v>0</v>
      </c>
      <c r="AE88" s="3">
        <v>0</v>
      </c>
      <c r="AF88" t="s">
        <v>86</v>
      </c>
      <c r="AG88" s="13">
        <v>10</v>
      </c>
      <c r="AQ88"/>
    </row>
    <row r="89" spans="1:43" x14ac:dyDescent="0.2">
      <c r="A89" t="s">
        <v>128</v>
      </c>
      <c r="B89" t="s">
        <v>216</v>
      </c>
      <c r="C89" t="s">
        <v>263</v>
      </c>
      <c r="D89" t="s">
        <v>334</v>
      </c>
      <c r="E89" s="3">
        <v>35.388888888888886</v>
      </c>
      <c r="F89" s="3">
        <f>Table3[[#This Row],[Total Hours Nurse Staffing]]/Table3[[#This Row],[MDS Census]]</f>
        <v>4.0037676609105191</v>
      </c>
      <c r="G89" s="3">
        <f>Table3[[#This Row],[Total Direct Care Staff Hours]]/Table3[[#This Row],[MDS Census]]</f>
        <v>3.6804301412872844</v>
      </c>
      <c r="H89" s="3">
        <f>Table3[[#This Row],[Total RN Hours (w/ Admin, DON)]]/Table3[[#This Row],[MDS Census]]</f>
        <v>0.80220722135007838</v>
      </c>
      <c r="I89" s="3">
        <f>Table3[[#This Row],[RN Hours (excl. Admin, DON)]]/Table3[[#This Row],[MDS Census]]</f>
        <v>0.47886970172684457</v>
      </c>
      <c r="J89" s="3">
        <f t="shared" si="1"/>
        <v>141.6888888888889</v>
      </c>
      <c r="K89" s="3">
        <f>SUM(Table3[[#This Row],[RN Hours (excl. Admin, DON)]], Table3[[#This Row],[LPN Hours (excl. Admin)]], Table3[[#This Row],[CNA Hours]], Table3[[#This Row],[NA TR Hours]], Table3[[#This Row],[Med Aide/Tech Hours]])</f>
        <v>130.24633333333333</v>
      </c>
      <c r="L89" s="3">
        <f>SUM(Table3[[#This Row],[RN Hours (excl. Admin, DON)]:[RN DON Hours]])</f>
        <v>28.389222222222216</v>
      </c>
      <c r="M89" s="3">
        <v>16.946666666666665</v>
      </c>
      <c r="N89" s="3">
        <v>5.9314444444444421</v>
      </c>
      <c r="O89" s="3">
        <v>5.5111111111111111</v>
      </c>
      <c r="P89" s="3">
        <f>SUM(Table3[[#This Row],[LPN Hours (excl. Admin)]:[LPN Admin Hours]])</f>
        <v>20.980444444444444</v>
      </c>
      <c r="Q89" s="3">
        <v>20.980444444444444</v>
      </c>
      <c r="R89" s="3">
        <v>0</v>
      </c>
      <c r="S89" s="3">
        <f>SUM(Table3[[#This Row],[CNA Hours]], Table3[[#This Row],[NA TR Hours]], Table3[[#This Row],[Med Aide/Tech Hours]])</f>
        <v>92.319222222222237</v>
      </c>
      <c r="T89" s="3">
        <v>69.403222222222226</v>
      </c>
      <c r="U89" s="3">
        <v>0</v>
      </c>
      <c r="V89" s="3">
        <v>22.916000000000011</v>
      </c>
      <c r="W89" s="3">
        <f>SUM(Table3[[#This Row],[RN Hours Contract]:[Med Aide Hours Contract]])</f>
        <v>27.696666666666673</v>
      </c>
      <c r="X89" s="3">
        <v>2.7843333333333331</v>
      </c>
      <c r="Y89" s="3">
        <v>0</v>
      </c>
      <c r="Z89" s="3">
        <v>0</v>
      </c>
      <c r="AA89" s="3">
        <v>1.990777777777778</v>
      </c>
      <c r="AB89" s="3">
        <v>0</v>
      </c>
      <c r="AC89" s="3">
        <v>22.827111111111115</v>
      </c>
      <c r="AD89" s="3">
        <v>0</v>
      </c>
      <c r="AE89" s="3">
        <v>9.4444444444444442E-2</v>
      </c>
      <c r="AF89" t="s">
        <v>87</v>
      </c>
      <c r="AG89" s="13">
        <v>10</v>
      </c>
      <c r="AQ89"/>
    </row>
    <row r="90" spans="1:43" x14ac:dyDescent="0.2">
      <c r="A90" t="s">
        <v>128</v>
      </c>
      <c r="B90" t="s">
        <v>217</v>
      </c>
      <c r="C90" t="s">
        <v>293</v>
      </c>
      <c r="D90" t="s">
        <v>332</v>
      </c>
      <c r="E90" s="3">
        <v>39.233333333333334</v>
      </c>
      <c r="F90" s="3">
        <f>Table3[[#This Row],[Total Hours Nurse Staffing]]/Table3[[#This Row],[MDS Census]]</f>
        <v>4.487963749645993</v>
      </c>
      <c r="G90" s="3">
        <f>Table3[[#This Row],[Total Direct Care Staff Hours]]/Table3[[#This Row],[MDS Census]]</f>
        <v>4.1311243273860097</v>
      </c>
      <c r="H90" s="3">
        <f>Table3[[#This Row],[Total RN Hours (w/ Admin, DON)]]/Table3[[#This Row],[MDS Census]]</f>
        <v>0.62092891532143868</v>
      </c>
      <c r="I90" s="3">
        <f>Table3[[#This Row],[RN Hours (excl. Admin, DON)]]/Table3[[#This Row],[MDS Census]]</f>
        <v>0.26408949306145568</v>
      </c>
      <c r="J90" s="3">
        <f t="shared" si="1"/>
        <v>176.07777777777778</v>
      </c>
      <c r="K90" s="3">
        <f>SUM(Table3[[#This Row],[RN Hours (excl. Admin, DON)]], Table3[[#This Row],[LPN Hours (excl. Admin)]], Table3[[#This Row],[CNA Hours]], Table3[[#This Row],[NA TR Hours]], Table3[[#This Row],[Med Aide/Tech Hours]])</f>
        <v>162.07777777777778</v>
      </c>
      <c r="L90" s="3">
        <f>SUM(Table3[[#This Row],[RN Hours (excl. Admin, DON)]:[RN DON Hours]])</f>
        <v>24.361111111111111</v>
      </c>
      <c r="M90" s="3">
        <v>10.361111111111111</v>
      </c>
      <c r="N90" s="3">
        <v>10.666666666666666</v>
      </c>
      <c r="O90" s="3">
        <v>3.3333333333333335</v>
      </c>
      <c r="P90" s="3">
        <f>SUM(Table3[[#This Row],[LPN Hours (excl. Admin)]:[LPN Admin Hours]])</f>
        <v>28.56388888888889</v>
      </c>
      <c r="Q90" s="3">
        <v>28.56388888888889</v>
      </c>
      <c r="R90" s="3">
        <v>0</v>
      </c>
      <c r="S90" s="3">
        <f>SUM(Table3[[#This Row],[CNA Hours]], Table3[[#This Row],[NA TR Hours]], Table3[[#This Row],[Med Aide/Tech Hours]])</f>
        <v>123.15277777777777</v>
      </c>
      <c r="T90" s="3">
        <v>111.04722222222222</v>
      </c>
      <c r="U90" s="3">
        <v>0</v>
      </c>
      <c r="V90" s="3">
        <v>12.105555555555556</v>
      </c>
      <c r="W90" s="3">
        <f>SUM(Table3[[#This Row],[RN Hours Contract]:[Med Aide Hours Contract]])</f>
        <v>34.949999999999996</v>
      </c>
      <c r="X90" s="3">
        <v>0</v>
      </c>
      <c r="Y90" s="3">
        <v>0</v>
      </c>
      <c r="Z90" s="3">
        <v>0</v>
      </c>
      <c r="AA90" s="3">
        <v>0.53333333333333333</v>
      </c>
      <c r="AB90" s="3">
        <v>0</v>
      </c>
      <c r="AC90" s="3">
        <v>34.416666666666664</v>
      </c>
      <c r="AD90" s="3">
        <v>0</v>
      </c>
      <c r="AE90" s="3">
        <v>0</v>
      </c>
      <c r="AF90" t="s">
        <v>88</v>
      </c>
      <c r="AG90" s="13">
        <v>10</v>
      </c>
      <c r="AQ90"/>
    </row>
    <row r="91" spans="1:43" x14ac:dyDescent="0.2">
      <c r="A91" t="s">
        <v>128</v>
      </c>
      <c r="B91" t="s">
        <v>218</v>
      </c>
      <c r="C91" t="s">
        <v>307</v>
      </c>
      <c r="D91" t="s">
        <v>322</v>
      </c>
      <c r="E91" s="3">
        <v>54.111111111111114</v>
      </c>
      <c r="F91" s="3">
        <f>Table3[[#This Row],[Total Hours Nurse Staffing]]/Table3[[#This Row],[MDS Census]]</f>
        <v>5.5105749486652966</v>
      </c>
      <c r="G91" s="3">
        <f>Table3[[#This Row],[Total Direct Care Staff Hours]]/Table3[[#This Row],[MDS Census]]</f>
        <v>5.1033367556468177</v>
      </c>
      <c r="H91" s="3">
        <f>Table3[[#This Row],[Total RN Hours (w/ Admin, DON)]]/Table3[[#This Row],[MDS Census]]</f>
        <v>0.40343942505133462</v>
      </c>
      <c r="I91" s="3">
        <f>Table3[[#This Row],[RN Hours (excl. Admin, DON)]]/Table3[[#This Row],[MDS Census]]</f>
        <v>0.16940451745379875</v>
      </c>
      <c r="J91" s="3">
        <f t="shared" si="1"/>
        <v>298.18333333333328</v>
      </c>
      <c r="K91" s="3">
        <f>SUM(Table3[[#This Row],[RN Hours (excl. Admin, DON)]], Table3[[#This Row],[LPN Hours (excl. Admin)]], Table3[[#This Row],[CNA Hours]], Table3[[#This Row],[NA TR Hours]], Table3[[#This Row],[Med Aide/Tech Hours]])</f>
        <v>276.14722222222224</v>
      </c>
      <c r="L91" s="3">
        <f>SUM(Table3[[#This Row],[RN Hours (excl. Admin, DON)]:[RN DON Hours]])</f>
        <v>21.830555555555552</v>
      </c>
      <c r="M91" s="3">
        <v>9.1666666666666661</v>
      </c>
      <c r="N91" s="3">
        <v>7.4194444444444443</v>
      </c>
      <c r="O91" s="3">
        <v>5.2444444444444445</v>
      </c>
      <c r="P91" s="3">
        <f>SUM(Table3[[#This Row],[LPN Hours (excl. Admin)]:[LPN Admin Hours]])</f>
        <v>83.413888888888891</v>
      </c>
      <c r="Q91" s="3">
        <v>74.041666666666671</v>
      </c>
      <c r="R91" s="3">
        <v>9.3722222222222218</v>
      </c>
      <c r="S91" s="3">
        <f>SUM(Table3[[#This Row],[CNA Hours]], Table3[[#This Row],[NA TR Hours]], Table3[[#This Row],[Med Aide/Tech Hours]])</f>
        <v>192.93888888888887</v>
      </c>
      <c r="T91" s="3">
        <v>154.43055555555554</v>
      </c>
      <c r="U91" s="3">
        <v>32.461111111111109</v>
      </c>
      <c r="V91" s="3">
        <v>6.0472222222222225</v>
      </c>
      <c r="W91" s="3">
        <f>SUM(Table3[[#This Row],[RN Hours Contract]:[Med Aide Hours Contract]])</f>
        <v>18.513888888888886</v>
      </c>
      <c r="X91" s="3">
        <v>2.088888888888889</v>
      </c>
      <c r="Y91" s="3">
        <v>0</v>
      </c>
      <c r="Z91" s="3">
        <v>0</v>
      </c>
      <c r="AA91" s="3">
        <v>4.8722222222222218</v>
      </c>
      <c r="AB91" s="3">
        <v>0</v>
      </c>
      <c r="AC91" s="3">
        <v>11.552777777777777</v>
      </c>
      <c r="AD91" s="3">
        <v>0</v>
      </c>
      <c r="AE91" s="3">
        <v>0</v>
      </c>
      <c r="AF91" t="s">
        <v>89</v>
      </c>
      <c r="AG91" s="13">
        <v>10</v>
      </c>
      <c r="AQ91"/>
    </row>
    <row r="92" spans="1:43" x14ac:dyDescent="0.2">
      <c r="A92" t="s">
        <v>128</v>
      </c>
      <c r="B92" t="s">
        <v>219</v>
      </c>
      <c r="C92" t="s">
        <v>306</v>
      </c>
      <c r="D92" t="s">
        <v>322</v>
      </c>
      <c r="E92" s="3">
        <v>39.799999999999997</v>
      </c>
      <c r="F92" s="3">
        <f>Table3[[#This Row],[Total Hours Nurse Staffing]]/Table3[[#This Row],[MDS Census]]</f>
        <v>4.7926716917922949</v>
      </c>
      <c r="G92" s="3">
        <f>Table3[[#This Row],[Total Direct Care Staff Hours]]/Table3[[#This Row],[MDS Census]]</f>
        <v>4.6564349525404811</v>
      </c>
      <c r="H92" s="3">
        <f>Table3[[#This Row],[Total RN Hours (w/ Admin, DON)]]/Table3[[#This Row],[MDS Census]]</f>
        <v>0.6532216638749303</v>
      </c>
      <c r="I92" s="3">
        <f>Table3[[#This Row],[RN Hours (excl. Admin, DON)]]/Table3[[#This Row],[MDS Census]]</f>
        <v>0.51698492462311563</v>
      </c>
      <c r="J92" s="3">
        <f t="shared" si="1"/>
        <v>190.74833333333333</v>
      </c>
      <c r="K92" s="3">
        <f>SUM(Table3[[#This Row],[RN Hours (excl. Admin, DON)]], Table3[[#This Row],[LPN Hours (excl. Admin)]], Table3[[#This Row],[CNA Hours]], Table3[[#This Row],[NA TR Hours]], Table3[[#This Row],[Med Aide/Tech Hours]])</f>
        <v>185.32611111111112</v>
      </c>
      <c r="L92" s="3">
        <f>SUM(Table3[[#This Row],[RN Hours (excl. Admin, DON)]:[RN DON Hours]])</f>
        <v>25.998222222222225</v>
      </c>
      <c r="M92" s="3">
        <v>20.576000000000001</v>
      </c>
      <c r="N92" s="3">
        <v>0</v>
      </c>
      <c r="O92" s="3">
        <v>5.4222222222222225</v>
      </c>
      <c r="P92" s="3">
        <f>SUM(Table3[[#This Row],[LPN Hours (excl. Admin)]:[LPN Admin Hours]])</f>
        <v>40.072111111111106</v>
      </c>
      <c r="Q92" s="3">
        <v>40.072111111111106</v>
      </c>
      <c r="R92" s="3">
        <v>0</v>
      </c>
      <c r="S92" s="3">
        <f>SUM(Table3[[#This Row],[CNA Hours]], Table3[[#This Row],[NA TR Hours]], Table3[[#This Row],[Med Aide/Tech Hours]])</f>
        <v>124.67800000000001</v>
      </c>
      <c r="T92" s="3">
        <v>112.706</v>
      </c>
      <c r="U92" s="3">
        <v>0</v>
      </c>
      <c r="V92" s="3">
        <v>11.972000000000003</v>
      </c>
      <c r="W92" s="3">
        <f>SUM(Table3[[#This Row],[RN Hours Contract]:[Med Aide Hours Contract]])</f>
        <v>19.25</v>
      </c>
      <c r="X92" s="3">
        <v>0</v>
      </c>
      <c r="Y92" s="3">
        <v>0</v>
      </c>
      <c r="Z92" s="3">
        <v>0</v>
      </c>
      <c r="AA92" s="3">
        <v>0</v>
      </c>
      <c r="AB92" s="3">
        <v>0</v>
      </c>
      <c r="AC92" s="3">
        <v>19.25</v>
      </c>
      <c r="AD92" s="3">
        <v>0</v>
      </c>
      <c r="AE92" s="3">
        <v>0</v>
      </c>
      <c r="AF92" t="s">
        <v>90</v>
      </c>
      <c r="AG92" s="13">
        <v>10</v>
      </c>
      <c r="AQ92"/>
    </row>
    <row r="93" spans="1:43" x14ac:dyDescent="0.2">
      <c r="A93" t="s">
        <v>128</v>
      </c>
      <c r="B93" t="s">
        <v>220</v>
      </c>
      <c r="C93" t="s">
        <v>308</v>
      </c>
      <c r="D93" t="s">
        <v>345</v>
      </c>
      <c r="E93" s="3">
        <v>27.122222222222224</v>
      </c>
      <c r="F93" s="3">
        <f>Table3[[#This Row],[Total Hours Nurse Staffing]]/Table3[[#This Row],[MDS Census]]</f>
        <v>4.6525317492830807</v>
      </c>
      <c r="G93" s="3">
        <f>Table3[[#This Row],[Total Direct Care Staff Hours]]/Table3[[#This Row],[MDS Census]]</f>
        <v>4.4427816468660382</v>
      </c>
      <c r="H93" s="3">
        <f>Table3[[#This Row],[Total RN Hours (w/ Admin, DON)]]/Table3[[#This Row],[MDS Census]]</f>
        <v>0.77376075378943054</v>
      </c>
      <c r="I93" s="3">
        <f>Table3[[#This Row],[RN Hours (excl. Admin, DON)]]/Table3[[#This Row],[MDS Census]]</f>
        <v>0.56401065137238837</v>
      </c>
      <c r="J93" s="3">
        <f t="shared" si="1"/>
        <v>126.187</v>
      </c>
      <c r="K93" s="3">
        <f>SUM(Table3[[#This Row],[RN Hours (excl. Admin, DON)]], Table3[[#This Row],[LPN Hours (excl. Admin)]], Table3[[#This Row],[CNA Hours]], Table3[[#This Row],[NA TR Hours]], Table3[[#This Row],[Med Aide/Tech Hours]])</f>
        <v>120.4981111111111</v>
      </c>
      <c r="L93" s="3">
        <f>SUM(Table3[[#This Row],[RN Hours (excl. Admin, DON)]:[RN DON Hours]])</f>
        <v>20.986111111111111</v>
      </c>
      <c r="M93" s="3">
        <v>15.297222222222222</v>
      </c>
      <c r="N93" s="3">
        <v>0</v>
      </c>
      <c r="O93" s="3">
        <v>5.6888888888888891</v>
      </c>
      <c r="P93" s="3">
        <f>SUM(Table3[[#This Row],[LPN Hours (excl. Admin)]:[LPN Admin Hours]])</f>
        <v>5.5666666666666664</v>
      </c>
      <c r="Q93" s="3">
        <v>5.5666666666666664</v>
      </c>
      <c r="R93" s="3">
        <v>0</v>
      </c>
      <c r="S93" s="3">
        <f>SUM(Table3[[#This Row],[CNA Hours]], Table3[[#This Row],[NA TR Hours]], Table3[[#This Row],[Med Aide/Tech Hours]])</f>
        <v>99.63422222222222</v>
      </c>
      <c r="T93" s="3">
        <v>66.050888888888892</v>
      </c>
      <c r="U93" s="3">
        <v>23.905555555555555</v>
      </c>
      <c r="V93" s="3">
        <v>9.6777777777777771</v>
      </c>
      <c r="W93" s="3">
        <f>SUM(Table3[[#This Row],[RN Hours Contract]:[Med Aide Hours Contract]])</f>
        <v>19.320333333333334</v>
      </c>
      <c r="X93" s="3">
        <v>0.26666666666666666</v>
      </c>
      <c r="Y93" s="3">
        <v>0</v>
      </c>
      <c r="Z93" s="3">
        <v>0</v>
      </c>
      <c r="AA93" s="3">
        <v>2.9833333333333334</v>
      </c>
      <c r="AB93" s="3">
        <v>0</v>
      </c>
      <c r="AC93" s="3">
        <v>16.070333333333334</v>
      </c>
      <c r="AD93" s="3">
        <v>0</v>
      </c>
      <c r="AE93" s="3">
        <v>0</v>
      </c>
      <c r="AF93" t="s">
        <v>91</v>
      </c>
      <c r="AG93" s="13">
        <v>10</v>
      </c>
      <c r="AQ93"/>
    </row>
    <row r="94" spans="1:43" x14ac:dyDescent="0.2">
      <c r="A94" t="s">
        <v>128</v>
      </c>
      <c r="B94" t="s">
        <v>221</v>
      </c>
      <c r="C94" t="s">
        <v>286</v>
      </c>
      <c r="D94" t="s">
        <v>339</v>
      </c>
      <c r="E94" s="3">
        <v>31.488888888888887</v>
      </c>
      <c r="F94" s="3">
        <f>Table3[[#This Row],[Total Hours Nurse Staffing]]/Table3[[#This Row],[MDS Census]]</f>
        <v>4.6568383909668318</v>
      </c>
      <c r="G94" s="3">
        <f>Table3[[#This Row],[Total Direct Care Staff Hours]]/Table3[[#This Row],[MDS Census]]</f>
        <v>4.0151976005645729</v>
      </c>
      <c r="H94" s="3">
        <f>Table3[[#This Row],[Total RN Hours (w/ Admin, DON)]]/Table3[[#This Row],[MDS Census]]</f>
        <v>0.69015525758645047</v>
      </c>
      <c r="I94" s="3">
        <f>Table3[[#This Row],[RN Hours (excl. Admin, DON)]]/Table3[[#This Row],[MDS Census]]</f>
        <v>0.29934368383909671</v>
      </c>
      <c r="J94" s="3">
        <f t="shared" si="1"/>
        <v>146.63866666666667</v>
      </c>
      <c r="K94" s="3">
        <f>SUM(Table3[[#This Row],[RN Hours (excl. Admin, DON)]], Table3[[#This Row],[LPN Hours (excl. Admin)]], Table3[[#This Row],[CNA Hours]], Table3[[#This Row],[NA TR Hours]], Table3[[#This Row],[Med Aide/Tech Hours]])</f>
        <v>126.43411111111111</v>
      </c>
      <c r="L94" s="3">
        <f>SUM(Table3[[#This Row],[RN Hours (excl. Admin, DON)]:[RN DON Hours]])</f>
        <v>21.732222222222227</v>
      </c>
      <c r="M94" s="3">
        <v>9.4260000000000002</v>
      </c>
      <c r="N94" s="3">
        <v>6.6895555555555575</v>
      </c>
      <c r="O94" s="3">
        <v>5.6166666666666663</v>
      </c>
      <c r="P94" s="3">
        <f>SUM(Table3[[#This Row],[LPN Hours (excl. Admin)]:[LPN Admin Hours]])</f>
        <v>38.87855555555555</v>
      </c>
      <c r="Q94" s="3">
        <v>30.980222222222221</v>
      </c>
      <c r="R94" s="3">
        <v>7.8983333333333334</v>
      </c>
      <c r="S94" s="3">
        <f>SUM(Table3[[#This Row],[CNA Hours]], Table3[[#This Row],[NA TR Hours]], Table3[[#This Row],[Med Aide/Tech Hours]])</f>
        <v>86.027888888888882</v>
      </c>
      <c r="T94" s="3">
        <v>85.266777777777776</v>
      </c>
      <c r="U94" s="3">
        <v>0.76111111111111107</v>
      </c>
      <c r="V94" s="3">
        <v>0</v>
      </c>
      <c r="W94" s="3">
        <f>SUM(Table3[[#This Row],[RN Hours Contract]:[Med Aide Hours Contract]])</f>
        <v>0</v>
      </c>
      <c r="X94" s="3">
        <v>0</v>
      </c>
      <c r="Y94" s="3">
        <v>0</v>
      </c>
      <c r="Z94" s="3">
        <v>0</v>
      </c>
      <c r="AA94" s="3">
        <v>0</v>
      </c>
      <c r="AB94" s="3">
        <v>0</v>
      </c>
      <c r="AC94" s="3">
        <v>0</v>
      </c>
      <c r="AD94" s="3">
        <v>0</v>
      </c>
      <c r="AE94" s="3">
        <v>0</v>
      </c>
      <c r="AF94" t="s">
        <v>92</v>
      </c>
      <c r="AG94" s="13">
        <v>10</v>
      </c>
      <c r="AQ94"/>
    </row>
    <row r="95" spans="1:43" x14ac:dyDescent="0.2">
      <c r="A95" t="s">
        <v>128</v>
      </c>
      <c r="B95" t="s">
        <v>222</v>
      </c>
      <c r="C95" t="s">
        <v>273</v>
      </c>
      <c r="D95" t="s">
        <v>319</v>
      </c>
      <c r="E95" s="3">
        <v>30.888888888888889</v>
      </c>
      <c r="F95" s="3">
        <f>Table3[[#This Row],[Total Hours Nurse Staffing]]/Table3[[#This Row],[MDS Census]]</f>
        <v>6.3120647482014389</v>
      </c>
      <c r="G95" s="3">
        <f>Table3[[#This Row],[Total Direct Care Staff Hours]]/Table3[[#This Row],[MDS Census]]</f>
        <v>5.7745395683453236</v>
      </c>
      <c r="H95" s="3">
        <f>Table3[[#This Row],[Total RN Hours (w/ Admin, DON)]]/Table3[[#This Row],[MDS Census]]</f>
        <v>0.901115107913669</v>
      </c>
      <c r="I95" s="3">
        <f>Table3[[#This Row],[RN Hours (excl. Admin, DON)]]/Table3[[#This Row],[MDS Census]]</f>
        <v>0.62620503597122301</v>
      </c>
      <c r="J95" s="3">
        <f t="shared" si="1"/>
        <v>194.97266666666667</v>
      </c>
      <c r="K95" s="3">
        <f>SUM(Table3[[#This Row],[RN Hours (excl. Admin, DON)]], Table3[[#This Row],[LPN Hours (excl. Admin)]], Table3[[#This Row],[CNA Hours]], Table3[[#This Row],[NA TR Hours]], Table3[[#This Row],[Med Aide/Tech Hours]])</f>
        <v>178.3691111111111</v>
      </c>
      <c r="L95" s="3">
        <f>SUM(Table3[[#This Row],[RN Hours (excl. Admin, DON)]:[RN DON Hours]])</f>
        <v>27.834444444444443</v>
      </c>
      <c r="M95" s="3">
        <v>19.342777777777776</v>
      </c>
      <c r="N95" s="3">
        <v>5.9916666666666663</v>
      </c>
      <c r="O95" s="3">
        <v>2.5</v>
      </c>
      <c r="P95" s="3">
        <f>SUM(Table3[[#This Row],[LPN Hours (excl. Admin)]:[LPN Admin Hours]])</f>
        <v>40.964666666666659</v>
      </c>
      <c r="Q95" s="3">
        <v>32.852777777777774</v>
      </c>
      <c r="R95" s="3">
        <v>8.1118888888888883</v>
      </c>
      <c r="S95" s="3">
        <f>SUM(Table3[[#This Row],[CNA Hours]], Table3[[#This Row],[NA TR Hours]], Table3[[#This Row],[Med Aide/Tech Hours]])</f>
        <v>126.17355555555555</v>
      </c>
      <c r="T95" s="3">
        <v>112.47477777777777</v>
      </c>
      <c r="U95" s="3">
        <v>0</v>
      </c>
      <c r="V95" s="3">
        <v>13.698777777777776</v>
      </c>
      <c r="W95" s="3">
        <f>SUM(Table3[[#This Row],[RN Hours Contract]:[Med Aide Hours Contract]])</f>
        <v>0.89722222222222225</v>
      </c>
      <c r="X95" s="3">
        <v>0</v>
      </c>
      <c r="Y95" s="3">
        <v>0.89722222222222225</v>
      </c>
      <c r="Z95" s="3">
        <v>0</v>
      </c>
      <c r="AA95" s="3">
        <v>0</v>
      </c>
      <c r="AB95" s="3">
        <v>0</v>
      </c>
      <c r="AC95" s="3">
        <v>0</v>
      </c>
      <c r="AD95" s="3">
        <v>0</v>
      </c>
      <c r="AE95" s="3">
        <v>0</v>
      </c>
      <c r="AF95" t="s">
        <v>93</v>
      </c>
      <c r="AG95" s="13">
        <v>10</v>
      </c>
      <c r="AQ95"/>
    </row>
    <row r="96" spans="1:43" x14ac:dyDescent="0.2">
      <c r="A96" t="s">
        <v>128</v>
      </c>
      <c r="B96" t="s">
        <v>223</v>
      </c>
      <c r="C96" t="s">
        <v>266</v>
      </c>
      <c r="D96" t="s">
        <v>321</v>
      </c>
      <c r="E96" s="3">
        <v>78.077777777777783</v>
      </c>
      <c r="F96" s="3">
        <f>Table3[[#This Row],[Total Hours Nurse Staffing]]/Table3[[#This Row],[MDS Census]]</f>
        <v>4.4788316493524967</v>
      </c>
      <c r="G96" s="3">
        <f>Table3[[#This Row],[Total Direct Care Staff Hours]]/Table3[[#This Row],[MDS Census]]</f>
        <v>4.3375551444428622</v>
      </c>
      <c r="H96" s="3">
        <f>Table3[[#This Row],[Total RN Hours (w/ Admin, DON)]]/Table3[[#This Row],[MDS Census]]</f>
        <v>0.60171481428774731</v>
      </c>
      <c r="I96" s="3">
        <f>Table3[[#This Row],[RN Hours (excl. Admin, DON)]]/Table3[[#This Row],[MDS Census]]</f>
        <v>0.46043830937811298</v>
      </c>
      <c r="J96" s="3">
        <f t="shared" si="1"/>
        <v>349.69722222222219</v>
      </c>
      <c r="K96" s="3">
        <f>SUM(Table3[[#This Row],[RN Hours (excl. Admin, DON)]], Table3[[#This Row],[LPN Hours (excl. Admin)]], Table3[[#This Row],[CNA Hours]], Table3[[#This Row],[NA TR Hours]], Table3[[#This Row],[Med Aide/Tech Hours]])</f>
        <v>338.66666666666663</v>
      </c>
      <c r="L96" s="3">
        <f>SUM(Table3[[#This Row],[RN Hours (excl. Admin, DON)]:[RN DON Hours]])</f>
        <v>46.980555555555561</v>
      </c>
      <c r="M96" s="3">
        <v>35.950000000000003</v>
      </c>
      <c r="N96" s="3">
        <v>5.7861111111111114</v>
      </c>
      <c r="O96" s="3">
        <v>5.2444444444444445</v>
      </c>
      <c r="P96" s="3">
        <f>SUM(Table3[[#This Row],[LPN Hours (excl. Admin)]:[LPN Admin Hours]])</f>
        <v>86.625</v>
      </c>
      <c r="Q96" s="3">
        <v>86.625</v>
      </c>
      <c r="R96" s="3">
        <v>0</v>
      </c>
      <c r="S96" s="3">
        <f>SUM(Table3[[#This Row],[CNA Hours]], Table3[[#This Row],[NA TR Hours]], Table3[[#This Row],[Med Aide/Tech Hours]])</f>
        <v>216.09166666666667</v>
      </c>
      <c r="T96" s="3">
        <v>170.01944444444445</v>
      </c>
      <c r="U96" s="3">
        <v>0</v>
      </c>
      <c r="V96" s="3">
        <v>46.072222222222223</v>
      </c>
      <c r="W96" s="3">
        <f>SUM(Table3[[#This Row],[RN Hours Contract]:[Med Aide Hours Contract]])</f>
        <v>17</v>
      </c>
      <c r="X96" s="3">
        <v>0</v>
      </c>
      <c r="Y96" s="3">
        <v>0</v>
      </c>
      <c r="Z96" s="3">
        <v>0</v>
      </c>
      <c r="AA96" s="3">
        <v>0</v>
      </c>
      <c r="AB96" s="3">
        <v>0</v>
      </c>
      <c r="AC96" s="3">
        <v>17</v>
      </c>
      <c r="AD96" s="3">
        <v>0</v>
      </c>
      <c r="AE96" s="3">
        <v>0</v>
      </c>
      <c r="AF96" t="s">
        <v>94</v>
      </c>
      <c r="AG96" s="13">
        <v>10</v>
      </c>
      <c r="AQ96"/>
    </row>
    <row r="97" spans="1:43" x14ac:dyDescent="0.2">
      <c r="A97" t="s">
        <v>128</v>
      </c>
      <c r="B97" t="s">
        <v>224</v>
      </c>
      <c r="C97" t="s">
        <v>289</v>
      </c>
      <c r="D97" t="s">
        <v>341</v>
      </c>
      <c r="E97" s="3">
        <v>39.955555555555556</v>
      </c>
      <c r="F97" s="3">
        <f>Table3[[#This Row],[Total Hours Nurse Staffing]]/Table3[[#This Row],[MDS Census]]</f>
        <v>5.5023303670745269</v>
      </c>
      <c r="G97" s="3">
        <f>Table3[[#This Row],[Total Direct Care Staff Hours]]/Table3[[#This Row],[MDS Census]]</f>
        <v>4.8973665183537261</v>
      </c>
      <c r="H97" s="3">
        <f>Table3[[#This Row],[Total RN Hours (w/ Admin, DON)]]/Table3[[#This Row],[MDS Census]]</f>
        <v>2.1841490545050055</v>
      </c>
      <c r="I97" s="3">
        <f>Table3[[#This Row],[RN Hours (excl. Admin, DON)]]/Table3[[#This Row],[MDS Census]]</f>
        <v>1.58015850945495</v>
      </c>
      <c r="J97" s="3">
        <f t="shared" si="1"/>
        <v>219.84866666666665</v>
      </c>
      <c r="K97" s="3">
        <f>SUM(Table3[[#This Row],[RN Hours (excl. Admin, DON)]], Table3[[#This Row],[LPN Hours (excl. Admin)]], Table3[[#This Row],[CNA Hours]], Table3[[#This Row],[NA TR Hours]], Table3[[#This Row],[Med Aide/Tech Hours]])</f>
        <v>195.67699999999999</v>
      </c>
      <c r="L97" s="3">
        <f>SUM(Table3[[#This Row],[RN Hours (excl. Admin, DON)]:[RN DON Hours]])</f>
        <v>87.268888888888881</v>
      </c>
      <c r="M97" s="3">
        <v>63.136111111111113</v>
      </c>
      <c r="N97" s="3">
        <v>18.621666666666666</v>
      </c>
      <c r="O97" s="3">
        <v>5.5111111111111111</v>
      </c>
      <c r="P97" s="3">
        <f>SUM(Table3[[#This Row],[LPN Hours (excl. Admin)]:[LPN Admin Hours]])</f>
        <v>29.298666666666666</v>
      </c>
      <c r="Q97" s="3">
        <v>29.259777777777778</v>
      </c>
      <c r="R97" s="3">
        <v>3.888888888888889E-2</v>
      </c>
      <c r="S97" s="3">
        <f>SUM(Table3[[#This Row],[CNA Hours]], Table3[[#This Row],[NA TR Hours]], Table3[[#This Row],[Med Aide/Tech Hours]])</f>
        <v>103.2811111111111</v>
      </c>
      <c r="T97" s="3">
        <v>103.2811111111111</v>
      </c>
      <c r="U97" s="3">
        <v>0</v>
      </c>
      <c r="V97" s="3">
        <v>0</v>
      </c>
      <c r="W97" s="3">
        <f>SUM(Table3[[#This Row],[RN Hours Contract]:[Med Aide Hours Contract]])</f>
        <v>19.006999999999998</v>
      </c>
      <c r="X97" s="3">
        <v>0</v>
      </c>
      <c r="Y97" s="3">
        <v>0.19666666666666671</v>
      </c>
      <c r="Z97" s="3">
        <v>0</v>
      </c>
      <c r="AA97" s="3">
        <v>5.8597777777777793</v>
      </c>
      <c r="AB97" s="3">
        <v>3.888888888888889E-2</v>
      </c>
      <c r="AC97" s="3">
        <v>12.911666666666664</v>
      </c>
      <c r="AD97" s="3">
        <v>0</v>
      </c>
      <c r="AE97" s="3">
        <v>0</v>
      </c>
      <c r="AF97" t="s">
        <v>95</v>
      </c>
      <c r="AG97" s="13">
        <v>10</v>
      </c>
      <c r="AQ97"/>
    </row>
    <row r="98" spans="1:43" x14ac:dyDescent="0.2">
      <c r="A98" t="s">
        <v>128</v>
      </c>
      <c r="B98" t="s">
        <v>225</v>
      </c>
      <c r="C98" t="s">
        <v>309</v>
      </c>
      <c r="D98" t="s">
        <v>332</v>
      </c>
      <c r="E98" s="3">
        <v>18.233333333333334</v>
      </c>
      <c r="F98" s="3">
        <f>Table3[[#This Row],[Total Hours Nurse Staffing]]/Table3[[#This Row],[MDS Census]]</f>
        <v>5.9643083485679469</v>
      </c>
      <c r="G98" s="3">
        <f>Table3[[#This Row],[Total Direct Care Staff Hours]]/Table3[[#This Row],[MDS Census]]</f>
        <v>5.4722790981109082</v>
      </c>
      <c r="H98" s="3">
        <f>Table3[[#This Row],[Total RN Hours (w/ Admin, DON)]]/Table3[[#This Row],[MDS Census]]</f>
        <v>0.81804387568555759</v>
      </c>
      <c r="I98" s="3">
        <f>Table3[[#This Row],[RN Hours (excl. Admin, DON)]]/Table3[[#This Row],[MDS Census]]</f>
        <v>0.6596039000609385</v>
      </c>
      <c r="J98" s="3">
        <f t="shared" si="1"/>
        <v>108.74922222222223</v>
      </c>
      <c r="K98" s="3">
        <f>SUM(Table3[[#This Row],[RN Hours (excl. Admin, DON)]], Table3[[#This Row],[LPN Hours (excl. Admin)]], Table3[[#This Row],[CNA Hours]], Table3[[#This Row],[NA TR Hours]], Table3[[#This Row],[Med Aide/Tech Hours]])</f>
        <v>99.777888888888896</v>
      </c>
      <c r="L98" s="3">
        <f>SUM(Table3[[#This Row],[RN Hours (excl. Admin, DON)]:[RN DON Hours]])</f>
        <v>14.915666666666668</v>
      </c>
      <c r="M98" s="3">
        <v>12.026777777777779</v>
      </c>
      <c r="N98" s="3">
        <v>0</v>
      </c>
      <c r="O98" s="3">
        <v>2.8888888888888888</v>
      </c>
      <c r="P98" s="3">
        <f>SUM(Table3[[#This Row],[LPN Hours (excl. Admin)]:[LPN Admin Hours]])</f>
        <v>19.618444444444446</v>
      </c>
      <c r="Q98" s="3">
        <v>13.536</v>
      </c>
      <c r="R98" s="3">
        <v>6.0824444444444454</v>
      </c>
      <c r="S98" s="3">
        <f>SUM(Table3[[#This Row],[CNA Hours]], Table3[[#This Row],[NA TR Hours]], Table3[[#This Row],[Med Aide/Tech Hours]])</f>
        <v>74.215111111111113</v>
      </c>
      <c r="T98" s="3">
        <v>64.820666666666668</v>
      </c>
      <c r="U98" s="3">
        <v>0</v>
      </c>
      <c r="V98" s="3">
        <v>9.3944444444444475</v>
      </c>
      <c r="W98" s="3">
        <f>SUM(Table3[[#This Row],[RN Hours Contract]:[Med Aide Hours Contract]])</f>
        <v>9.1923333333333357</v>
      </c>
      <c r="X98" s="3">
        <v>0</v>
      </c>
      <c r="Y98" s="3">
        <v>0</v>
      </c>
      <c r="Z98" s="3">
        <v>0</v>
      </c>
      <c r="AA98" s="3">
        <v>0</v>
      </c>
      <c r="AB98" s="3">
        <v>0</v>
      </c>
      <c r="AC98" s="3">
        <v>9.1923333333333357</v>
      </c>
      <c r="AD98" s="3">
        <v>0</v>
      </c>
      <c r="AE98" s="3">
        <v>0</v>
      </c>
      <c r="AF98" t="s">
        <v>96</v>
      </c>
      <c r="AG98" s="13">
        <v>10</v>
      </c>
      <c r="AQ98"/>
    </row>
    <row r="99" spans="1:43" x14ac:dyDescent="0.2">
      <c r="A99" t="s">
        <v>128</v>
      </c>
      <c r="B99" t="s">
        <v>226</v>
      </c>
      <c r="C99" t="s">
        <v>282</v>
      </c>
      <c r="D99" t="s">
        <v>336</v>
      </c>
      <c r="E99" s="3">
        <v>100.83333333333333</v>
      </c>
      <c r="F99" s="3">
        <f>Table3[[#This Row],[Total Hours Nurse Staffing]]/Table3[[#This Row],[MDS Census]]</f>
        <v>5.1638016528925625</v>
      </c>
      <c r="G99" s="3">
        <f>Table3[[#This Row],[Total Direct Care Staff Hours]]/Table3[[#This Row],[MDS Census]]</f>
        <v>4.8869972451790638</v>
      </c>
      <c r="H99" s="3">
        <f>Table3[[#This Row],[Total RN Hours (w/ Admin, DON)]]/Table3[[#This Row],[MDS Census]]</f>
        <v>1.1558126721763085</v>
      </c>
      <c r="I99" s="3">
        <f>Table3[[#This Row],[RN Hours (excl. Admin, DON)]]/Table3[[#This Row],[MDS Census]]</f>
        <v>0.93190082644628103</v>
      </c>
      <c r="J99" s="3">
        <f t="shared" si="1"/>
        <v>520.68333333333339</v>
      </c>
      <c r="K99" s="3">
        <f>SUM(Table3[[#This Row],[RN Hours (excl. Admin, DON)]], Table3[[#This Row],[LPN Hours (excl. Admin)]], Table3[[#This Row],[CNA Hours]], Table3[[#This Row],[NA TR Hours]], Table3[[#This Row],[Med Aide/Tech Hours]])</f>
        <v>492.77222222222224</v>
      </c>
      <c r="L99" s="3">
        <f>SUM(Table3[[#This Row],[RN Hours (excl. Admin, DON)]:[RN DON Hours]])</f>
        <v>116.54444444444444</v>
      </c>
      <c r="M99" s="3">
        <v>93.966666666666669</v>
      </c>
      <c r="N99" s="3">
        <v>17.333333333333332</v>
      </c>
      <c r="O99" s="3">
        <v>5.2444444444444445</v>
      </c>
      <c r="P99" s="3">
        <f>SUM(Table3[[#This Row],[LPN Hours (excl. Admin)]:[LPN Admin Hours]])</f>
        <v>41.163888888888891</v>
      </c>
      <c r="Q99" s="3">
        <v>35.830555555555556</v>
      </c>
      <c r="R99" s="3">
        <v>5.333333333333333</v>
      </c>
      <c r="S99" s="3">
        <f>SUM(Table3[[#This Row],[CNA Hours]], Table3[[#This Row],[NA TR Hours]], Table3[[#This Row],[Med Aide/Tech Hours]])</f>
        <v>362.97500000000002</v>
      </c>
      <c r="T99" s="3">
        <v>305.98333333333335</v>
      </c>
      <c r="U99" s="3">
        <v>6.5111111111111111</v>
      </c>
      <c r="V99" s="3">
        <v>50.480555555555554</v>
      </c>
      <c r="W99" s="3">
        <f>SUM(Table3[[#This Row],[RN Hours Contract]:[Med Aide Hours Contract]])</f>
        <v>64.266666666666666</v>
      </c>
      <c r="X99" s="3">
        <v>0</v>
      </c>
      <c r="Y99" s="3">
        <v>0</v>
      </c>
      <c r="Z99" s="3">
        <v>0</v>
      </c>
      <c r="AA99" s="3">
        <v>9.2444444444444436</v>
      </c>
      <c r="AB99" s="3">
        <v>0</v>
      </c>
      <c r="AC99" s="3">
        <v>55.022222222222226</v>
      </c>
      <c r="AD99" s="3">
        <v>0</v>
      </c>
      <c r="AE99" s="3">
        <v>0</v>
      </c>
      <c r="AF99" t="s">
        <v>97</v>
      </c>
      <c r="AG99" s="13">
        <v>10</v>
      </c>
      <c r="AQ99"/>
    </row>
    <row r="100" spans="1:43" x14ac:dyDescent="0.2">
      <c r="A100" t="s">
        <v>128</v>
      </c>
      <c r="B100" t="s">
        <v>227</v>
      </c>
      <c r="C100" t="s">
        <v>263</v>
      </c>
      <c r="D100" t="s">
        <v>334</v>
      </c>
      <c r="E100" s="3">
        <v>33.37777777777778</v>
      </c>
      <c r="F100" s="3">
        <f>Table3[[#This Row],[Total Hours Nurse Staffing]]/Table3[[#This Row],[MDS Census]]</f>
        <v>4.2752197070572571</v>
      </c>
      <c r="G100" s="3">
        <f>Table3[[#This Row],[Total Direct Care Staff Hours]]/Table3[[#This Row],[MDS Census]]</f>
        <v>3.7332756324900132</v>
      </c>
      <c r="H100" s="3">
        <f>Table3[[#This Row],[Total RN Hours (w/ Admin, DON)]]/Table3[[#This Row],[MDS Census]]</f>
        <v>0.85274966711051925</v>
      </c>
      <c r="I100" s="3">
        <f>Table3[[#This Row],[RN Hours (excl. Admin, DON)]]/Table3[[#This Row],[MDS Census]]</f>
        <v>0.31080559254327556</v>
      </c>
      <c r="J100" s="3">
        <f t="shared" si="1"/>
        <v>142.69733333333335</v>
      </c>
      <c r="K100" s="3">
        <f>SUM(Table3[[#This Row],[RN Hours (excl. Admin, DON)]], Table3[[#This Row],[LPN Hours (excl. Admin)]], Table3[[#This Row],[CNA Hours]], Table3[[#This Row],[NA TR Hours]], Table3[[#This Row],[Med Aide/Tech Hours]])</f>
        <v>124.60844444444444</v>
      </c>
      <c r="L100" s="3">
        <f>SUM(Table3[[#This Row],[RN Hours (excl. Admin, DON)]:[RN DON Hours]])</f>
        <v>28.462888888888887</v>
      </c>
      <c r="M100" s="3">
        <v>10.373999999999999</v>
      </c>
      <c r="N100" s="3">
        <v>12.472222222222221</v>
      </c>
      <c r="O100" s="3">
        <v>5.6166666666666663</v>
      </c>
      <c r="P100" s="3">
        <f>SUM(Table3[[#This Row],[LPN Hours (excl. Admin)]:[LPN Admin Hours]])</f>
        <v>34.960888888888888</v>
      </c>
      <c r="Q100" s="3">
        <v>34.960888888888888</v>
      </c>
      <c r="R100" s="3">
        <v>0</v>
      </c>
      <c r="S100" s="3">
        <f>SUM(Table3[[#This Row],[CNA Hours]], Table3[[#This Row],[NA TR Hours]], Table3[[#This Row],[Med Aide/Tech Hours]])</f>
        <v>79.273555555555561</v>
      </c>
      <c r="T100" s="3">
        <v>74.020777777777781</v>
      </c>
      <c r="U100" s="3">
        <v>0</v>
      </c>
      <c r="V100" s="3">
        <v>5.2527777777777782</v>
      </c>
      <c r="W100" s="3">
        <f>SUM(Table3[[#This Row],[RN Hours Contract]:[Med Aide Hours Contract]])</f>
        <v>0</v>
      </c>
      <c r="X100" s="3">
        <v>0</v>
      </c>
      <c r="Y100" s="3">
        <v>0</v>
      </c>
      <c r="Z100" s="3">
        <v>0</v>
      </c>
      <c r="AA100" s="3">
        <v>0</v>
      </c>
      <c r="AB100" s="3">
        <v>0</v>
      </c>
      <c r="AC100" s="3">
        <v>0</v>
      </c>
      <c r="AD100" s="3">
        <v>0</v>
      </c>
      <c r="AE100" s="3">
        <v>0</v>
      </c>
      <c r="AF100" t="s">
        <v>98</v>
      </c>
      <c r="AG100" s="13">
        <v>10</v>
      </c>
      <c r="AQ100"/>
    </row>
    <row r="101" spans="1:43" x14ac:dyDescent="0.2">
      <c r="A101" t="s">
        <v>128</v>
      </c>
      <c r="B101" t="s">
        <v>228</v>
      </c>
      <c r="C101" t="s">
        <v>263</v>
      </c>
      <c r="D101" t="s">
        <v>334</v>
      </c>
      <c r="E101" s="3">
        <v>34.87777777777778</v>
      </c>
      <c r="F101" s="3">
        <f>Table3[[#This Row],[Total Hours Nurse Staffing]]/Table3[[#This Row],[MDS Census]]</f>
        <v>7.6319241796750559</v>
      </c>
      <c r="G101" s="3">
        <f>Table3[[#This Row],[Total Direct Care Staff Hours]]/Table3[[#This Row],[MDS Census]]</f>
        <v>6.9138611022618663</v>
      </c>
      <c r="H101" s="3">
        <f>Table3[[#This Row],[Total RN Hours (w/ Admin, DON)]]/Table3[[#This Row],[MDS Census]]</f>
        <v>1.4691621535520862</v>
      </c>
      <c r="I101" s="3">
        <f>Table3[[#This Row],[RN Hours (excl. Admin, DON)]]/Table3[[#This Row],[MDS Census]]</f>
        <v>1.039248168206435</v>
      </c>
      <c r="J101" s="3">
        <f t="shared" si="1"/>
        <v>266.18455555555556</v>
      </c>
      <c r="K101" s="3">
        <f>SUM(Table3[[#This Row],[RN Hours (excl. Admin, DON)]], Table3[[#This Row],[LPN Hours (excl. Admin)]], Table3[[#This Row],[CNA Hours]], Table3[[#This Row],[NA TR Hours]], Table3[[#This Row],[Med Aide/Tech Hours]])</f>
        <v>241.14011111111111</v>
      </c>
      <c r="L101" s="3">
        <f>SUM(Table3[[#This Row],[RN Hours (excl. Admin, DON)]:[RN DON Hours]])</f>
        <v>51.241111111111103</v>
      </c>
      <c r="M101" s="3">
        <v>36.246666666666663</v>
      </c>
      <c r="N101" s="3">
        <v>10.199999999999999</v>
      </c>
      <c r="O101" s="3">
        <v>4.7944444444444443</v>
      </c>
      <c r="P101" s="3">
        <f>SUM(Table3[[#This Row],[LPN Hours (excl. Admin)]:[LPN Admin Hours]])</f>
        <v>32.286555555555552</v>
      </c>
      <c r="Q101" s="3">
        <v>22.236555555555555</v>
      </c>
      <c r="R101" s="3">
        <v>10.050000000000001</v>
      </c>
      <c r="S101" s="3">
        <f>SUM(Table3[[#This Row],[CNA Hours]], Table3[[#This Row],[NA TR Hours]], Table3[[#This Row],[Med Aide/Tech Hours]])</f>
        <v>182.65688888888889</v>
      </c>
      <c r="T101" s="3">
        <v>147.61122222222224</v>
      </c>
      <c r="U101" s="3">
        <v>4.2794444444444464</v>
      </c>
      <c r="V101" s="3">
        <v>30.766222222222222</v>
      </c>
      <c r="W101" s="3">
        <f>SUM(Table3[[#This Row],[RN Hours Contract]:[Med Aide Hours Contract]])</f>
        <v>0</v>
      </c>
      <c r="X101" s="3">
        <v>0</v>
      </c>
      <c r="Y101" s="3">
        <v>0</v>
      </c>
      <c r="Z101" s="3">
        <v>0</v>
      </c>
      <c r="AA101" s="3">
        <v>0</v>
      </c>
      <c r="AB101" s="3">
        <v>0</v>
      </c>
      <c r="AC101" s="3">
        <v>0</v>
      </c>
      <c r="AD101" s="3">
        <v>0</v>
      </c>
      <c r="AE101" s="3">
        <v>0</v>
      </c>
      <c r="AF101" t="s">
        <v>99</v>
      </c>
      <c r="AG101" s="13">
        <v>10</v>
      </c>
      <c r="AQ101"/>
    </row>
    <row r="102" spans="1:43" x14ac:dyDescent="0.2">
      <c r="A102" t="s">
        <v>128</v>
      </c>
      <c r="B102" t="s">
        <v>229</v>
      </c>
      <c r="C102" t="s">
        <v>275</v>
      </c>
      <c r="D102" t="s">
        <v>339</v>
      </c>
      <c r="E102" s="3">
        <v>32.6</v>
      </c>
      <c r="F102" s="3">
        <f>Table3[[#This Row],[Total Hours Nurse Staffing]]/Table3[[#This Row],[MDS Census]]</f>
        <v>6.1297716428084525</v>
      </c>
      <c r="G102" s="3">
        <f>Table3[[#This Row],[Total Direct Care Staff Hours]]/Table3[[#This Row],[MDS Census]]</f>
        <v>5.6211656441717786</v>
      </c>
      <c r="H102" s="3">
        <f>Table3[[#This Row],[Total RN Hours (w/ Admin, DON)]]/Table3[[#This Row],[MDS Census]]</f>
        <v>1.0549591002044989</v>
      </c>
      <c r="I102" s="3">
        <f>Table3[[#This Row],[RN Hours (excl. Admin, DON)]]/Table3[[#This Row],[MDS Census]]</f>
        <v>0.54635310156782546</v>
      </c>
      <c r="J102" s="3">
        <f t="shared" si="1"/>
        <v>199.83055555555555</v>
      </c>
      <c r="K102" s="3">
        <f>SUM(Table3[[#This Row],[RN Hours (excl. Admin, DON)]], Table3[[#This Row],[LPN Hours (excl. Admin)]], Table3[[#This Row],[CNA Hours]], Table3[[#This Row],[NA TR Hours]], Table3[[#This Row],[Med Aide/Tech Hours]])</f>
        <v>183.25</v>
      </c>
      <c r="L102" s="3">
        <f>SUM(Table3[[#This Row],[RN Hours (excl. Admin, DON)]:[RN DON Hours]])</f>
        <v>34.391666666666666</v>
      </c>
      <c r="M102" s="3">
        <v>17.81111111111111</v>
      </c>
      <c r="N102" s="3">
        <v>11.691666666666666</v>
      </c>
      <c r="O102" s="3">
        <v>4.8888888888888893</v>
      </c>
      <c r="P102" s="3">
        <f>SUM(Table3[[#This Row],[LPN Hours (excl. Admin)]:[LPN Admin Hours]])</f>
        <v>22.56388888888889</v>
      </c>
      <c r="Q102" s="3">
        <v>22.56388888888889</v>
      </c>
      <c r="R102" s="3">
        <v>0</v>
      </c>
      <c r="S102" s="3">
        <f>SUM(Table3[[#This Row],[CNA Hours]], Table3[[#This Row],[NA TR Hours]], Table3[[#This Row],[Med Aide/Tech Hours]])</f>
        <v>142.875</v>
      </c>
      <c r="T102" s="3">
        <v>88.641666666666666</v>
      </c>
      <c r="U102" s="3">
        <v>10.852777777777778</v>
      </c>
      <c r="V102" s="3">
        <v>43.380555555555553</v>
      </c>
      <c r="W102" s="3">
        <f>SUM(Table3[[#This Row],[RN Hours Contract]:[Med Aide Hours Contract]])</f>
        <v>6.7666666666666666</v>
      </c>
      <c r="X102" s="3">
        <v>0</v>
      </c>
      <c r="Y102" s="3">
        <v>0</v>
      </c>
      <c r="Z102" s="3">
        <v>0</v>
      </c>
      <c r="AA102" s="3">
        <v>0</v>
      </c>
      <c r="AB102" s="3">
        <v>0</v>
      </c>
      <c r="AC102" s="3">
        <v>6.7666666666666666</v>
      </c>
      <c r="AD102" s="3">
        <v>0</v>
      </c>
      <c r="AE102" s="3">
        <v>0</v>
      </c>
      <c r="AF102" t="s">
        <v>100</v>
      </c>
      <c r="AG102" s="13">
        <v>10</v>
      </c>
      <c r="AQ102"/>
    </row>
    <row r="103" spans="1:43" x14ac:dyDescent="0.2">
      <c r="A103" t="s">
        <v>128</v>
      </c>
      <c r="B103" t="s">
        <v>230</v>
      </c>
      <c r="C103" t="s">
        <v>310</v>
      </c>
      <c r="D103" t="s">
        <v>346</v>
      </c>
      <c r="E103" s="3">
        <v>27.033333333333335</v>
      </c>
      <c r="F103" s="3">
        <f>Table3[[#This Row],[Total Hours Nurse Staffing]]/Table3[[#This Row],[MDS Census]]</f>
        <v>4.8412700369913688</v>
      </c>
      <c r="G103" s="3">
        <f>Table3[[#This Row],[Total Direct Care Staff Hours]]/Table3[[#This Row],[MDS Census]]</f>
        <v>4.394007398273736</v>
      </c>
      <c r="H103" s="3">
        <f>Table3[[#This Row],[Total RN Hours (w/ Admin, DON)]]/Table3[[#This Row],[MDS Census]]</f>
        <v>0.8473571722153721</v>
      </c>
      <c r="I103" s="3">
        <f>Table3[[#This Row],[RN Hours (excl. Admin, DON)]]/Table3[[#This Row],[MDS Census]]</f>
        <v>0.40647348951911216</v>
      </c>
      <c r="J103" s="3">
        <f t="shared" si="1"/>
        <v>130.87566666666669</v>
      </c>
      <c r="K103" s="3">
        <f>SUM(Table3[[#This Row],[RN Hours (excl. Admin, DON)]], Table3[[#This Row],[LPN Hours (excl. Admin)]], Table3[[#This Row],[CNA Hours]], Table3[[#This Row],[NA TR Hours]], Table3[[#This Row],[Med Aide/Tech Hours]])</f>
        <v>118.78466666666668</v>
      </c>
      <c r="L103" s="3">
        <f>SUM(Table3[[#This Row],[RN Hours (excl. Admin, DON)]:[RN DON Hours]])</f>
        <v>22.906888888888894</v>
      </c>
      <c r="M103" s="3">
        <v>10.988333333333333</v>
      </c>
      <c r="N103" s="3">
        <v>7.3677777777777766</v>
      </c>
      <c r="O103" s="3">
        <v>4.55077777777778</v>
      </c>
      <c r="P103" s="3">
        <f>SUM(Table3[[#This Row],[LPN Hours (excl. Admin)]:[LPN Admin Hours]])</f>
        <v>16.771222222222224</v>
      </c>
      <c r="Q103" s="3">
        <v>16.59877777777778</v>
      </c>
      <c r="R103" s="3">
        <v>0.17244444444444443</v>
      </c>
      <c r="S103" s="3">
        <f>SUM(Table3[[#This Row],[CNA Hours]], Table3[[#This Row],[NA TR Hours]], Table3[[#This Row],[Med Aide/Tech Hours]])</f>
        <v>91.197555555555567</v>
      </c>
      <c r="T103" s="3">
        <v>79.404555555555561</v>
      </c>
      <c r="U103" s="3">
        <v>0</v>
      </c>
      <c r="V103" s="3">
        <v>11.792999999999999</v>
      </c>
      <c r="W103" s="3">
        <f>SUM(Table3[[#This Row],[RN Hours Contract]:[Med Aide Hours Contract]])</f>
        <v>1.0361111111111112</v>
      </c>
      <c r="X103" s="3">
        <v>0</v>
      </c>
      <c r="Y103" s="3">
        <v>0</v>
      </c>
      <c r="Z103" s="3">
        <v>0</v>
      </c>
      <c r="AA103" s="3">
        <v>0</v>
      </c>
      <c r="AB103" s="3">
        <v>0</v>
      </c>
      <c r="AC103" s="3">
        <v>1.0361111111111112</v>
      </c>
      <c r="AD103" s="3">
        <v>0</v>
      </c>
      <c r="AE103" s="3">
        <v>0</v>
      </c>
      <c r="AF103" t="s">
        <v>101</v>
      </c>
      <c r="AG103" s="13">
        <v>10</v>
      </c>
      <c r="AQ103"/>
    </row>
    <row r="104" spans="1:43" x14ac:dyDescent="0.2">
      <c r="A104" t="s">
        <v>128</v>
      </c>
      <c r="B104" t="s">
        <v>231</v>
      </c>
      <c r="C104" t="s">
        <v>311</v>
      </c>
      <c r="D104" t="s">
        <v>343</v>
      </c>
      <c r="E104" s="3">
        <v>48.477777777777774</v>
      </c>
      <c r="F104" s="3">
        <f>Table3[[#This Row],[Total Hours Nurse Staffing]]/Table3[[#This Row],[MDS Census]]</f>
        <v>4.705324318129728</v>
      </c>
      <c r="G104" s="3">
        <f>Table3[[#This Row],[Total Direct Care Staff Hours]]/Table3[[#This Row],[MDS Census]]</f>
        <v>4.3173298189319276</v>
      </c>
      <c r="H104" s="3">
        <f>Table3[[#This Row],[Total RN Hours (w/ Admin, DON)]]/Table3[[#This Row],[MDS Census]]</f>
        <v>0.90532431812972736</v>
      </c>
      <c r="I104" s="3">
        <f>Table3[[#This Row],[RN Hours (excl. Admin, DON)]]/Table3[[#This Row],[MDS Census]]</f>
        <v>0.62714645885858356</v>
      </c>
      <c r="J104" s="3">
        <f t="shared" si="1"/>
        <v>228.10366666666667</v>
      </c>
      <c r="K104" s="3">
        <f>SUM(Table3[[#This Row],[RN Hours (excl. Admin, DON)]], Table3[[#This Row],[LPN Hours (excl. Admin)]], Table3[[#This Row],[CNA Hours]], Table3[[#This Row],[NA TR Hours]], Table3[[#This Row],[Med Aide/Tech Hours]])</f>
        <v>209.29455555555555</v>
      </c>
      <c r="L104" s="3">
        <f>SUM(Table3[[#This Row],[RN Hours (excl. Admin, DON)]:[RN DON Hours]])</f>
        <v>43.888111111111115</v>
      </c>
      <c r="M104" s="3">
        <v>30.402666666666665</v>
      </c>
      <c r="N104" s="3">
        <v>8.8141111111111101</v>
      </c>
      <c r="O104" s="3">
        <v>4.6713333333333331</v>
      </c>
      <c r="P104" s="3">
        <f>SUM(Table3[[#This Row],[LPN Hours (excl. Admin)]:[LPN Admin Hours]])</f>
        <v>21.547444444444448</v>
      </c>
      <c r="Q104" s="3">
        <v>16.22377777777778</v>
      </c>
      <c r="R104" s="3">
        <v>5.323666666666667</v>
      </c>
      <c r="S104" s="3">
        <f>SUM(Table3[[#This Row],[CNA Hours]], Table3[[#This Row],[NA TR Hours]], Table3[[#This Row],[Med Aide/Tech Hours]])</f>
        <v>162.6681111111111</v>
      </c>
      <c r="T104" s="3">
        <v>130.70455555555554</v>
      </c>
      <c r="U104" s="3">
        <v>0</v>
      </c>
      <c r="V104" s="3">
        <v>31.963555555555548</v>
      </c>
      <c r="W104" s="3">
        <f>SUM(Table3[[#This Row],[RN Hours Contract]:[Med Aide Hours Contract]])</f>
        <v>0</v>
      </c>
      <c r="X104" s="3">
        <v>0</v>
      </c>
      <c r="Y104" s="3">
        <v>0</v>
      </c>
      <c r="Z104" s="3">
        <v>0</v>
      </c>
      <c r="AA104" s="3">
        <v>0</v>
      </c>
      <c r="AB104" s="3">
        <v>0</v>
      </c>
      <c r="AC104" s="3">
        <v>0</v>
      </c>
      <c r="AD104" s="3">
        <v>0</v>
      </c>
      <c r="AE104" s="3">
        <v>0</v>
      </c>
      <c r="AF104" t="s">
        <v>102</v>
      </c>
      <c r="AG104" s="13">
        <v>10</v>
      </c>
      <c r="AQ104"/>
    </row>
    <row r="105" spans="1:43" x14ac:dyDescent="0.2">
      <c r="A105" t="s">
        <v>128</v>
      </c>
      <c r="B105" t="s">
        <v>232</v>
      </c>
      <c r="C105" t="s">
        <v>263</v>
      </c>
      <c r="D105" t="s">
        <v>334</v>
      </c>
      <c r="E105" s="3">
        <v>46.022222222222226</v>
      </c>
      <c r="F105" s="3">
        <f>Table3[[#This Row],[Total Hours Nurse Staffing]]/Table3[[#This Row],[MDS Census]]</f>
        <v>4.2212795750845</v>
      </c>
      <c r="G105" s="3">
        <f>Table3[[#This Row],[Total Direct Care Staff Hours]]/Table3[[#This Row],[MDS Census]]</f>
        <v>4.1072042491549974</v>
      </c>
      <c r="H105" s="3">
        <f>Table3[[#This Row],[Total RN Hours (w/ Admin, DON)]]/Table3[[#This Row],[MDS Census]]</f>
        <v>0.81576774505069993</v>
      </c>
      <c r="I105" s="3">
        <f>Table3[[#This Row],[RN Hours (excl. Admin, DON)]]/Table3[[#This Row],[MDS Census]]</f>
        <v>0.70169241912119729</v>
      </c>
      <c r="J105" s="3">
        <f t="shared" ref="J105:J129" si="2">SUM(L105,P105,S105)</f>
        <v>194.27266666666668</v>
      </c>
      <c r="K105" s="3">
        <f>SUM(Table3[[#This Row],[RN Hours (excl. Admin, DON)]], Table3[[#This Row],[LPN Hours (excl. Admin)]], Table3[[#This Row],[CNA Hours]], Table3[[#This Row],[NA TR Hours]], Table3[[#This Row],[Med Aide/Tech Hours]])</f>
        <v>189.02266666666668</v>
      </c>
      <c r="L105" s="3">
        <f>SUM(Table3[[#This Row],[RN Hours (excl. Admin, DON)]:[RN DON Hours]])</f>
        <v>37.54344444444444</v>
      </c>
      <c r="M105" s="3">
        <v>32.29344444444444</v>
      </c>
      <c r="N105" s="3">
        <v>0</v>
      </c>
      <c r="O105" s="3">
        <v>5.25</v>
      </c>
      <c r="P105" s="3">
        <f>SUM(Table3[[#This Row],[LPN Hours (excl. Admin)]:[LPN Admin Hours]])</f>
        <v>30.746666666666666</v>
      </c>
      <c r="Q105" s="3">
        <v>30.746666666666666</v>
      </c>
      <c r="R105" s="3">
        <v>0</v>
      </c>
      <c r="S105" s="3">
        <f>SUM(Table3[[#This Row],[CNA Hours]], Table3[[#This Row],[NA TR Hours]], Table3[[#This Row],[Med Aide/Tech Hours]])</f>
        <v>125.98255555555556</v>
      </c>
      <c r="T105" s="3">
        <v>125.98255555555556</v>
      </c>
      <c r="U105" s="3">
        <v>0</v>
      </c>
      <c r="V105" s="3">
        <v>0</v>
      </c>
      <c r="W105" s="3">
        <f>SUM(Table3[[#This Row],[RN Hours Contract]:[Med Aide Hours Contract]])</f>
        <v>0</v>
      </c>
      <c r="X105" s="3">
        <v>0</v>
      </c>
      <c r="Y105" s="3">
        <v>0</v>
      </c>
      <c r="Z105" s="3">
        <v>0</v>
      </c>
      <c r="AA105" s="3">
        <v>0</v>
      </c>
      <c r="AB105" s="3">
        <v>0</v>
      </c>
      <c r="AC105" s="3">
        <v>0</v>
      </c>
      <c r="AD105" s="3">
        <v>0</v>
      </c>
      <c r="AE105" s="3">
        <v>0</v>
      </c>
      <c r="AF105" t="s">
        <v>103</v>
      </c>
      <c r="AG105" s="13">
        <v>10</v>
      </c>
      <c r="AQ105"/>
    </row>
    <row r="106" spans="1:43" x14ac:dyDescent="0.2">
      <c r="A106" t="s">
        <v>128</v>
      </c>
      <c r="B106" t="s">
        <v>233</v>
      </c>
      <c r="C106" t="s">
        <v>312</v>
      </c>
      <c r="D106" t="s">
        <v>339</v>
      </c>
      <c r="E106" s="3">
        <v>39.966666666666669</v>
      </c>
      <c r="F106" s="3">
        <f>Table3[[#This Row],[Total Hours Nurse Staffing]]/Table3[[#This Row],[MDS Census]]</f>
        <v>4.899013066444259</v>
      </c>
      <c r="G106" s="3">
        <f>Table3[[#This Row],[Total Direct Care Staff Hours]]/Table3[[#This Row],[MDS Census]]</f>
        <v>4.4512788434806776</v>
      </c>
      <c r="H106" s="3">
        <f>Table3[[#This Row],[Total RN Hours (w/ Admin, DON)]]/Table3[[#This Row],[MDS Census]]</f>
        <v>0.83187378370864595</v>
      </c>
      <c r="I106" s="3">
        <f>Table3[[#This Row],[RN Hours (excl. Admin, DON)]]/Table3[[#This Row],[MDS Census]]</f>
        <v>0.38413956074506533</v>
      </c>
      <c r="J106" s="3">
        <f t="shared" si="2"/>
        <v>195.79722222222222</v>
      </c>
      <c r="K106" s="3">
        <f>SUM(Table3[[#This Row],[RN Hours (excl. Admin, DON)]], Table3[[#This Row],[LPN Hours (excl. Admin)]], Table3[[#This Row],[CNA Hours]], Table3[[#This Row],[NA TR Hours]], Table3[[#This Row],[Med Aide/Tech Hours]])</f>
        <v>177.90277777777777</v>
      </c>
      <c r="L106" s="3">
        <f>SUM(Table3[[#This Row],[RN Hours (excl. Admin, DON)]:[RN DON Hours]])</f>
        <v>33.24722222222222</v>
      </c>
      <c r="M106" s="3">
        <v>15.352777777777778</v>
      </c>
      <c r="N106" s="3">
        <v>12.294444444444444</v>
      </c>
      <c r="O106" s="3">
        <v>5.6</v>
      </c>
      <c r="P106" s="3">
        <f>SUM(Table3[[#This Row],[LPN Hours (excl. Admin)]:[LPN Admin Hours]])</f>
        <v>35.214777777777776</v>
      </c>
      <c r="Q106" s="3">
        <v>35.214777777777776</v>
      </c>
      <c r="R106" s="3">
        <v>0</v>
      </c>
      <c r="S106" s="3">
        <f>SUM(Table3[[#This Row],[CNA Hours]], Table3[[#This Row],[NA TR Hours]], Table3[[#This Row],[Med Aide/Tech Hours]])</f>
        <v>127.33522222222223</v>
      </c>
      <c r="T106" s="3">
        <v>85.821333333333328</v>
      </c>
      <c r="U106" s="3">
        <v>28.81111111111111</v>
      </c>
      <c r="V106" s="3">
        <v>12.702777777777778</v>
      </c>
      <c r="W106" s="3">
        <f>SUM(Table3[[#This Row],[RN Hours Contract]:[Med Aide Hours Contract]])</f>
        <v>13.705555555555556</v>
      </c>
      <c r="X106" s="3">
        <v>0</v>
      </c>
      <c r="Y106" s="3">
        <v>0</v>
      </c>
      <c r="Z106" s="3">
        <v>0</v>
      </c>
      <c r="AA106" s="3">
        <v>1.6</v>
      </c>
      <c r="AB106" s="3">
        <v>0</v>
      </c>
      <c r="AC106" s="3">
        <v>12.105555555555556</v>
      </c>
      <c r="AD106" s="3">
        <v>0</v>
      </c>
      <c r="AE106" s="3">
        <v>0</v>
      </c>
      <c r="AF106" t="s">
        <v>104</v>
      </c>
      <c r="AG106" s="13">
        <v>10</v>
      </c>
      <c r="AQ106"/>
    </row>
    <row r="107" spans="1:43" x14ac:dyDescent="0.2">
      <c r="A107" t="s">
        <v>128</v>
      </c>
      <c r="B107" t="s">
        <v>234</v>
      </c>
      <c r="C107" t="s">
        <v>263</v>
      </c>
      <c r="D107" t="s">
        <v>334</v>
      </c>
      <c r="E107" s="3">
        <v>50.244444444444447</v>
      </c>
      <c r="F107" s="3">
        <f>Table3[[#This Row],[Total Hours Nurse Staffing]]/Table3[[#This Row],[MDS Census]]</f>
        <v>4.4025984077841658</v>
      </c>
      <c r="G107" s="3">
        <f>Table3[[#This Row],[Total Direct Care Staff Hours]]/Table3[[#This Row],[MDS Census]]</f>
        <v>4.0081379920389208</v>
      </c>
      <c r="H107" s="3">
        <f>Table3[[#This Row],[Total RN Hours (w/ Admin, DON)]]/Table3[[#This Row],[MDS Census]]</f>
        <v>0.38334807607253429</v>
      </c>
      <c r="I107" s="3">
        <f>Table3[[#This Row],[RN Hours (excl. Admin, DON)]]/Table3[[#This Row],[MDS Census]]</f>
        <v>9.2823971693940729E-2</v>
      </c>
      <c r="J107" s="3">
        <f t="shared" si="2"/>
        <v>221.20611111111111</v>
      </c>
      <c r="K107" s="3">
        <f>SUM(Table3[[#This Row],[RN Hours (excl. Admin, DON)]], Table3[[#This Row],[LPN Hours (excl. Admin)]], Table3[[#This Row],[CNA Hours]], Table3[[#This Row],[NA TR Hours]], Table3[[#This Row],[Med Aide/Tech Hours]])</f>
        <v>201.38666666666666</v>
      </c>
      <c r="L107" s="3">
        <f>SUM(Table3[[#This Row],[RN Hours (excl. Admin, DON)]:[RN DON Hours]])</f>
        <v>19.261111111111113</v>
      </c>
      <c r="M107" s="3">
        <v>4.6638888888888888</v>
      </c>
      <c r="N107" s="3">
        <v>8.9972222222222218</v>
      </c>
      <c r="O107" s="3">
        <v>5.6</v>
      </c>
      <c r="P107" s="3">
        <f>SUM(Table3[[#This Row],[LPN Hours (excl. Admin)]:[LPN Admin Hours]])</f>
        <v>44.008111111111113</v>
      </c>
      <c r="Q107" s="3">
        <v>38.785888888888891</v>
      </c>
      <c r="R107" s="3">
        <v>5.2222222222222223</v>
      </c>
      <c r="S107" s="3">
        <f>SUM(Table3[[#This Row],[CNA Hours]], Table3[[#This Row],[NA TR Hours]], Table3[[#This Row],[Med Aide/Tech Hours]])</f>
        <v>157.93688888888889</v>
      </c>
      <c r="T107" s="3">
        <v>129.45633333333333</v>
      </c>
      <c r="U107" s="3">
        <v>0</v>
      </c>
      <c r="V107" s="3">
        <v>28.480555555555554</v>
      </c>
      <c r="W107" s="3">
        <f>SUM(Table3[[#This Row],[RN Hours Contract]:[Med Aide Hours Contract]])</f>
        <v>3.6888888888888887</v>
      </c>
      <c r="X107" s="3">
        <v>0.4</v>
      </c>
      <c r="Y107" s="3">
        <v>0</v>
      </c>
      <c r="Z107" s="3">
        <v>0</v>
      </c>
      <c r="AA107" s="3">
        <v>2.1333333333333333</v>
      </c>
      <c r="AB107" s="3">
        <v>0</v>
      </c>
      <c r="AC107" s="3">
        <v>1.1555555555555554</v>
      </c>
      <c r="AD107" s="3">
        <v>0</v>
      </c>
      <c r="AE107" s="3">
        <v>0</v>
      </c>
      <c r="AF107" t="s">
        <v>105</v>
      </c>
      <c r="AG107" s="13">
        <v>10</v>
      </c>
      <c r="AQ107"/>
    </row>
    <row r="108" spans="1:43" x14ac:dyDescent="0.2">
      <c r="A108" t="s">
        <v>128</v>
      </c>
      <c r="B108" t="s">
        <v>235</v>
      </c>
      <c r="C108" t="s">
        <v>298</v>
      </c>
      <c r="D108" t="s">
        <v>344</v>
      </c>
      <c r="E108" s="3">
        <v>15.444444444444445</v>
      </c>
      <c r="F108" s="3">
        <f>Table3[[#This Row],[Total Hours Nurse Staffing]]/Table3[[#This Row],[MDS Census]]</f>
        <v>7.1358992805755399</v>
      </c>
      <c r="G108" s="3">
        <f>Table3[[#This Row],[Total Direct Care Staff Hours]]/Table3[[#This Row],[MDS Census]]</f>
        <v>6.4406474820143877</v>
      </c>
      <c r="H108" s="3">
        <f>Table3[[#This Row],[Total RN Hours (w/ Admin, DON)]]/Table3[[#This Row],[MDS Census]]</f>
        <v>1.3702517985611511</v>
      </c>
      <c r="I108" s="3">
        <f>Table3[[#This Row],[RN Hours (excl. Admin, DON)]]/Table3[[#This Row],[MDS Census]]</f>
        <v>0.67500000000000004</v>
      </c>
      <c r="J108" s="3">
        <f t="shared" si="2"/>
        <v>110.21000000000001</v>
      </c>
      <c r="K108" s="3">
        <f>SUM(Table3[[#This Row],[RN Hours (excl. Admin, DON)]], Table3[[#This Row],[LPN Hours (excl. Admin)]], Table3[[#This Row],[CNA Hours]], Table3[[#This Row],[NA TR Hours]], Table3[[#This Row],[Med Aide/Tech Hours]])</f>
        <v>99.472222222222214</v>
      </c>
      <c r="L108" s="3">
        <f>SUM(Table3[[#This Row],[RN Hours (excl. Admin, DON)]:[RN DON Hours]])</f>
        <v>21.162777777777777</v>
      </c>
      <c r="M108" s="3">
        <v>10.425000000000001</v>
      </c>
      <c r="N108" s="3">
        <v>6.471111111111111</v>
      </c>
      <c r="O108" s="3">
        <v>4.2666666666666666</v>
      </c>
      <c r="P108" s="3">
        <f>SUM(Table3[[#This Row],[LPN Hours (excl. Admin)]:[LPN Admin Hours]])</f>
        <v>29.577777777777779</v>
      </c>
      <c r="Q108" s="3">
        <v>29.577777777777779</v>
      </c>
      <c r="R108" s="3">
        <v>0</v>
      </c>
      <c r="S108" s="3">
        <f>SUM(Table3[[#This Row],[CNA Hours]], Table3[[#This Row],[NA TR Hours]], Table3[[#This Row],[Med Aide/Tech Hours]])</f>
        <v>59.469444444444441</v>
      </c>
      <c r="T108" s="3">
        <v>55.097222222222221</v>
      </c>
      <c r="U108" s="3">
        <v>0</v>
      </c>
      <c r="V108" s="3">
        <v>4.3722222222222218</v>
      </c>
      <c r="W108" s="3">
        <f>SUM(Table3[[#This Row],[RN Hours Contract]:[Med Aide Hours Contract]])</f>
        <v>7.1055555555555552</v>
      </c>
      <c r="X108" s="3">
        <v>0.66666666666666663</v>
      </c>
      <c r="Y108" s="3">
        <v>0</v>
      </c>
      <c r="Z108" s="3">
        <v>0</v>
      </c>
      <c r="AA108" s="3">
        <v>2.9249999999999998</v>
      </c>
      <c r="AB108" s="3">
        <v>0</v>
      </c>
      <c r="AC108" s="3">
        <v>3.5138888888888888</v>
      </c>
      <c r="AD108" s="3">
        <v>0</v>
      </c>
      <c r="AE108" s="3">
        <v>0</v>
      </c>
      <c r="AF108" t="s">
        <v>106</v>
      </c>
      <c r="AG108" s="13">
        <v>10</v>
      </c>
      <c r="AQ108"/>
    </row>
    <row r="109" spans="1:43" x14ac:dyDescent="0.2">
      <c r="A109" t="s">
        <v>128</v>
      </c>
      <c r="B109" t="s">
        <v>236</v>
      </c>
      <c r="C109" t="s">
        <v>302</v>
      </c>
      <c r="D109" t="s">
        <v>339</v>
      </c>
      <c r="E109" s="3">
        <v>68.688888888888883</v>
      </c>
      <c r="F109" s="3">
        <f>Table3[[#This Row],[Total Hours Nurse Staffing]]/Table3[[#This Row],[MDS Census]]</f>
        <v>4.3285991588482702</v>
      </c>
      <c r="G109" s="3">
        <f>Table3[[#This Row],[Total Direct Care Staff Hours]]/Table3[[#This Row],[MDS Census]]</f>
        <v>3.8834212229052092</v>
      </c>
      <c r="H109" s="3">
        <f>Table3[[#This Row],[Total RN Hours (w/ Admin, DON)]]/Table3[[#This Row],[MDS Census]]</f>
        <v>0.72305726302167583</v>
      </c>
      <c r="I109" s="3">
        <f>Table3[[#This Row],[RN Hours (excl. Admin, DON)]]/Table3[[#This Row],[MDS Census]]</f>
        <v>0.55094144289873825</v>
      </c>
      <c r="J109" s="3">
        <f t="shared" si="2"/>
        <v>297.32666666666671</v>
      </c>
      <c r="K109" s="3">
        <f>SUM(Table3[[#This Row],[RN Hours (excl. Admin, DON)]], Table3[[#This Row],[LPN Hours (excl. Admin)]], Table3[[#This Row],[CNA Hours]], Table3[[#This Row],[NA TR Hours]], Table3[[#This Row],[Med Aide/Tech Hours]])</f>
        <v>266.74788888888889</v>
      </c>
      <c r="L109" s="3">
        <f>SUM(Table3[[#This Row],[RN Hours (excl. Admin, DON)]:[RN DON Hours]])</f>
        <v>49.665999999999997</v>
      </c>
      <c r="M109" s="3">
        <v>37.843555555555554</v>
      </c>
      <c r="N109" s="3">
        <v>6.2057777777777785</v>
      </c>
      <c r="O109" s="3">
        <v>5.6166666666666663</v>
      </c>
      <c r="P109" s="3">
        <f>SUM(Table3[[#This Row],[LPN Hours (excl. Admin)]:[LPN Admin Hours]])</f>
        <v>70.669555555555547</v>
      </c>
      <c r="Q109" s="3">
        <v>51.913222222222217</v>
      </c>
      <c r="R109" s="3">
        <v>18.756333333333334</v>
      </c>
      <c r="S109" s="3">
        <f>SUM(Table3[[#This Row],[CNA Hours]], Table3[[#This Row],[NA TR Hours]], Table3[[#This Row],[Med Aide/Tech Hours]])</f>
        <v>176.99111111111114</v>
      </c>
      <c r="T109" s="3">
        <v>140.09288888888889</v>
      </c>
      <c r="U109" s="3">
        <v>22.610111111111124</v>
      </c>
      <c r="V109" s="3">
        <v>14.288111111111114</v>
      </c>
      <c r="W109" s="3">
        <f>SUM(Table3[[#This Row],[RN Hours Contract]:[Med Aide Hours Contract]])</f>
        <v>1.411</v>
      </c>
      <c r="X109" s="3">
        <v>0</v>
      </c>
      <c r="Y109" s="3">
        <v>0</v>
      </c>
      <c r="Z109" s="3">
        <v>0</v>
      </c>
      <c r="AA109" s="3">
        <v>0</v>
      </c>
      <c r="AB109" s="3">
        <v>0</v>
      </c>
      <c r="AC109" s="3">
        <v>1.411</v>
      </c>
      <c r="AD109" s="3">
        <v>0</v>
      </c>
      <c r="AE109" s="3">
        <v>0</v>
      </c>
      <c r="AF109" t="s">
        <v>107</v>
      </c>
      <c r="AG109" s="13">
        <v>10</v>
      </c>
      <c r="AQ109"/>
    </row>
    <row r="110" spans="1:43" x14ac:dyDescent="0.2">
      <c r="A110" t="s">
        <v>128</v>
      </c>
      <c r="B110" t="s">
        <v>237</v>
      </c>
      <c r="C110" t="s">
        <v>313</v>
      </c>
      <c r="D110" t="s">
        <v>339</v>
      </c>
      <c r="E110" s="3">
        <v>21.722222222222221</v>
      </c>
      <c r="F110" s="3">
        <f>Table3[[#This Row],[Total Hours Nurse Staffing]]/Table3[[#This Row],[MDS Census]]</f>
        <v>7.8730179028132996</v>
      </c>
      <c r="G110" s="3">
        <f>Table3[[#This Row],[Total Direct Care Staff Hours]]/Table3[[#This Row],[MDS Census]]</f>
        <v>7.0670076726342703</v>
      </c>
      <c r="H110" s="3">
        <f>Table3[[#This Row],[Total RN Hours (w/ Admin, DON)]]/Table3[[#This Row],[MDS Census]]</f>
        <v>2.2445012787723786</v>
      </c>
      <c r="I110" s="3">
        <f>Table3[[#This Row],[RN Hours (excl. Admin, DON)]]/Table3[[#This Row],[MDS Census]]</f>
        <v>1.8190537084398977</v>
      </c>
      <c r="J110" s="3">
        <f t="shared" si="2"/>
        <v>171.01944444444445</v>
      </c>
      <c r="K110" s="3">
        <f>SUM(Table3[[#This Row],[RN Hours (excl. Admin, DON)]], Table3[[#This Row],[LPN Hours (excl. Admin)]], Table3[[#This Row],[CNA Hours]], Table3[[#This Row],[NA TR Hours]], Table3[[#This Row],[Med Aide/Tech Hours]])</f>
        <v>153.51111111111109</v>
      </c>
      <c r="L110" s="3">
        <f>SUM(Table3[[#This Row],[RN Hours (excl. Admin, DON)]:[RN DON Hours]])</f>
        <v>48.755555555555553</v>
      </c>
      <c r="M110" s="3">
        <v>39.513888888888886</v>
      </c>
      <c r="N110" s="3">
        <v>3.7305555555555556</v>
      </c>
      <c r="O110" s="3">
        <v>5.5111111111111111</v>
      </c>
      <c r="P110" s="3">
        <f>SUM(Table3[[#This Row],[LPN Hours (excl. Admin)]:[LPN Admin Hours]])</f>
        <v>47.161111111111111</v>
      </c>
      <c r="Q110" s="3">
        <v>38.894444444444446</v>
      </c>
      <c r="R110" s="3">
        <v>8.2666666666666675</v>
      </c>
      <c r="S110" s="3">
        <f>SUM(Table3[[#This Row],[CNA Hours]], Table3[[#This Row],[NA TR Hours]], Table3[[#This Row],[Med Aide/Tech Hours]])</f>
        <v>75.102777777777774</v>
      </c>
      <c r="T110" s="3">
        <v>69.108333333333334</v>
      </c>
      <c r="U110" s="3">
        <v>0</v>
      </c>
      <c r="V110" s="3">
        <v>5.9944444444444445</v>
      </c>
      <c r="W110" s="3">
        <f>SUM(Table3[[#This Row],[RN Hours Contract]:[Med Aide Hours Contract]])</f>
        <v>0</v>
      </c>
      <c r="X110" s="3">
        <v>0</v>
      </c>
      <c r="Y110" s="3">
        <v>0</v>
      </c>
      <c r="Z110" s="3">
        <v>0</v>
      </c>
      <c r="AA110" s="3">
        <v>0</v>
      </c>
      <c r="AB110" s="3">
        <v>0</v>
      </c>
      <c r="AC110" s="3">
        <v>0</v>
      </c>
      <c r="AD110" s="3">
        <v>0</v>
      </c>
      <c r="AE110" s="3">
        <v>0</v>
      </c>
      <c r="AF110" t="s">
        <v>108</v>
      </c>
      <c r="AG110" s="13">
        <v>10</v>
      </c>
      <c r="AQ110"/>
    </row>
    <row r="111" spans="1:43" x14ac:dyDescent="0.2">
      <c r="A111" t="s">
        <v>128</v>
      </c>
      <c r="B111" t="s">
        <v>238</v>
      </c>
      <c r="C111" t="s">
        <v>287</v>
      </c>
      <c r="D111" t="s">
        <v>321</v>
      </c>
      <c r="E111" s="3">
        <v>49.866666666666667</v>
      </c>
      <c r="F111" s="3">
        <f>Table3[[#This Row],[Total Hours Nurse Staffing]]/Table3[[#This Row],[MDS Census]]</f>
        <v>3.8587878787878793</v>
      </c>
      <c r="G111" s="3">
        <f>Table3[[#This Row],[Total Direct Care Staff Hours]]/Table3[[#This Row],[MDS Census]]</f>
        <v>3.6511653297682716</v>
      </c>
      <c r="H111" s="3">
        <f>Table3[[#This Row],[Total RN Hours (w/ Admin, DON)]]/Table3[[#This Row],[MDS Census]]</f>
        <v>0.73381461675579329</v>
      </c>
      <c r="I111" s="3">
        <f>Table3[[#This Row],[RN Hours (excl. Admin, DON)]]/Table3[[#This Row],[MDS Census]]</f>
        <v>0.52619206773618543</v>
      </c>
      <c r="J111" s="3">
        <f t="shared" si="2"/>
        <v>192.42488888888892</v>
      </c>
      <c r="K111" s="3">
        <f>SUM(Table3[[#This Row],[RN Hours (excl. Admin, DON)]], Table3[[#This Row],[LPN Hours (excl. Admin)]], Table3[[#This Row],[CNA Hours]], Table3[[#This Row],[NA TR Hours]], Table3[[#This Row],[Med Aide/Tech Hours]])</f>
        <v>182.07144444444447</v>
      </c>
      <c r="L111" s="3">
        <f>SUM(Table3[[#This Row],[RN Hours (excl. Admin, DON)]:[RN DON Hours]])</f>
        <v>36.592888888888893</v>
      </c>
      <c r="M111" s="3">
        <v>26.239444444444448</v>
      </c>
      <c r="N111" s="3">
        <v>4.6645555555555553</v>
      </c>
      <c r="O111" s="3">
        <v>5.6888888888888891</v>
      </c>
      <c r="P111" s="3">
        <f>SUM(Table3[[#This Row],[LPN Hours (excl. Admin)]:[LPN Admin Hours]])</f>
        <v>32.275222222222219</v>
      </c>
      <c r="Q111" s="3">
        <v>32.275222222222219</v>
      </c>
      <c r="R111" s="3">
        <v>0</v>
      </c>
      <c r="S111" s="3">
        <f>SUM(Table3[[#This Row],[CNA Hours]], Table3[[#This Row],[NA TR Hours]], Table3[[#This Row],[Med Aide/Tech Hours]])</f>
        <v>123.55677777777778</v>
      </c>
      <c r="T111" s="3">
        <v>106.22055555555556</v>
      </c>
      <c r="U111" s="3">
        <v>6.4549999999999983</v>
      </c>
      <c r="V111" s="3">
        <v>10.881222222222222</v>
      </c>
      <c r="W111" s="3">
        <f>SUM(Table3[[#This Row],[RN Hours Contract]:[Med Aide Hours Contract]])</f>
        <v>0.96122222222222231</v>
      </c>
      <c r="X111" s="3">
        <v>0.52688888888888896</v>
      </c>
      <c r="Y111" s="3">
        <v>0</v>
      </c>
      <c r="Z111" s="3">
        <v>0</v>
      </c>
      <c r="AA111" s="3">
        <v>0.43433333333333335</v>
      </c>
      <c r="AB111" s="3">
        <v>0</v>
      </c>
      <c r="AC111" s="3">
        <v>0</v>
      </c>
      <c r="AD111" s="3">
        <v>0</v>
      </c>
      <c r="AE111" s="3">
        <v>0</v>
      </c>
      <c r="AF111" t="s">
        <v>109</v>
      </c>
      <c r="AG111" s="13">
        <v>10</v>
      </c>
      <c r="AQ111"/>
    </row>
    <row r="112" spans="1:43" x14ac:dyDescent="0.2">
      <c r="A112" t="s">
        <v>128</v>
      </c>
      <c r="B112" t="s">
        <v>239</v>
      </c>
      <c r="C112" t="s">
        <v>314</v>
      </c>
      <c r="D112" t="s">
        <v>347</v>
      </c>
      <c r="E112" s="3">
        <v>22.922222222222221</v>
      </c>
      <c r="F112" s="3">
        <f>Table3[[#This Row],[Total Hours Nurse Staffing]]/Table3[[#This Row],[MDS Census]]</f>
        <v>4.9428308288899663</v>
      </c>
      <c r="G112" s="3">
        <f>Table3[[#This Row],[Total Direct Care Staff Hours]]/Table3[[#This Row],[MDS Census]]</f>
        <v>4.476883179835192</v>
      </c>
      <c r="H112" s="3">
        <f>Table3[[#This Row],[Total RN Hours (w/ Admin, DON)]]/Table3[[#This Row],[MDS Census]]</f>
        <v>1.6564372273388273</v>
      </c>
      <c r="I112" s="3">
        <f>Table3[[#This Row],[RN Hours (excl. Admin, DON)]]/Table3[[#This Row],[MDS Census]]</f>
        <v>1.1904895782840526</v>
      </c>
      <c r="J112" s="3">
        <f t="shared" si="2"/>
        <v>113.30066666666667</v>
      </c>
      <c r="K112" s="3">
        <f>SUM(Table3[[#This Row],[RN Hours (excl. Admin, DON)]], Table3[[#This Row],[LPN Hours (excl. Admin)]], Table3[[#This Row],[CNA Hours]], Table3[[#This Row],[NA TR Hours]], Table3[[#This Row],[Med Aide/Tech Hours]])</f>
        <v>102.62011111111111</v>
      </c>
      <c r="L112" s="3">
        <f>SUM(Table3[[#This Row],[RN Hours (excl. Admin, DON)]:[RN DON Hours]])</f>
        <v>37.969222222222228</v>
      </c>
      <c r="M112" s="3">
        <v>27.288666666666668</v>
      </c>
      <c r="N112" s="3">
        <v>5.302777777777778</v>
      </c>
      <c r="O112" s="3">
        <v>5.3777777777777782</v>
      </c>
      <c r="P112" s="3">
        <f>SUM(Table3[[#This Row],[LPN Hours (excl. Admin)]:[LPN Admin Hours]])</f>
        <v>8.6916666666666664</v>
      </c>
      <c r="Q112" s="3">
        <v>8.6916666666666664</v>
      </c>
      <c r="R112" s="3">
        <v>0</v>
      </c>
      <c r="S112" s="3">
        <f>SUM(Table3[[#This Row],[CNA Hours]], Table3[[#This Row],[NA TR Hours]], Table3[[#This Row],[Med Aide/Tech Hours]])</f>
        <v>66.63977777777778</v>
      </c>
      <c r="T112" s="3">
        <v>66.63977777777778</v>
      </c>
      <c r="U112" s="3">
        <v>0</v>
      </c>
      <c r="V112" s="3">
        <v>0</v>
      </c>
      <c r="W112" s="3">
        <f>SUM(Table3[[#This Row],[RN Hours Contract]:[Med Aide Hours Contract]])</f>
        <v>0</v>
      </c>
      <c r="X112" s="3">
        <v>0</v>
      </c>
      <c r="Y112" s="3">
        <v>0</v>
      </c>
      <c r="Z112" s="3">
        <v>0</v>
      </c>
      <c r="AA112" s="3">
        <v>0</v>
      </c>
      <c r="AB112" s="3">
        <v>0</v>
      </c>
      <c r="AC112" s="3">
        <v>0</v>
      </c>
      <c r="AD112" s="3">
        <v>0</v>
      </c>
      <c r="AE112" s="3">
        <v>0</v>
      </c>
      <c r="AF112" t="s">
        <v>110</v>
      </c>
      <c r="AG112" s="13">
        <v>10</v>
      </c>
      <c r="AQ112"/>
    </row>
    <row r="113" spans="1:43" x14ac:dyDescent="0.2">
      <c r="A113" t="s">
        <v>128</v>
      </c>
      <c r="B113" t="s">
        <v>240</v>
      </c>
      <c r="C113" t="s">
        <v>263</v>
      </c>
      <c r="D113" t="s">
        <v>334</v>
      </c>
      <c r="E113" s="3">
        <v>30.3</v>
      </c>
      <c r="F113" s="3">
        <f>Table3[[#This Row],[Total Hours Nurse Staffing]]/Table3[[#This Row],[MDS Census]]</f>
        <v>6.4105757242390906</v>
      </c>
      <c r="G113" s="3">
        <f>Table3[[#This Row],[Total Direct Care Staff Hours]]/Table3[[#This Row],[MDS Census]]</f>
        <v>5.7400586725339195</v>
      </c>
      <c r="H113" s="3">
        <f>Table3[[#This Row],[Total RN Hours (w/ Admin, DON)]]/Table3[[#This Row],[MDS Census]]</f>
        <v>1.9009680968096809</v>
      </c>
      <c r="I113" s="3">
        <f>Table3[[#This Row],[RN Hours (excl. Admin, DON)]]/Table3[[#This Row],[MDS Census]]</f>
        <v>1.2304510451045103</v>
      </c>
      <c r="J113" s="3">
        <f t="shared" si="2"/>
        <v>194.24044444444445</v>
      </c>
      <c r="K113" s="3">
        <f>SUM(Table3[[#This Row],[RN Hours (excl. Admin, DON)]], Table3[[#This Row],[LPN Hours (excl. Admin)]], Table3[[#This Row],[CNA Hours]], Table3[[#This Row],[NA TR Hours]], Table3[[#This Row],[Med Aide/Tech Hours]])</f>
        <v>173.92377777777776</v>
      </c>
      <c r="L113" s="3">
        <f>SUM(Table3[[#This Row],[RN Hours (excl. Admin, DON)]:[RN DON Hours]])</f>
        <v>57.599333333333334</v>
      </c>
      <c r="M113" s="3">
        <v>37.282666666666664</v>
      </c>
      <c r="N113" s="3">
        <v>15.066666666666666</v>
      </c>
      <c r="O113" s="3">
        <v>5.25</v>
      </c>
      <c r="P113" s="3">
        <f>SUM(Table3[[#This Row],[LPN Hours (excl. Admin)]:[LPN Admin Hours]])</f>
        <v>20.377444444444446</v>
      </c>
      <c r="Q113" s="3">
        <v>20.377444444444446</v>
      </c>
      <c r="R113" s="3">
        <v>0</v>
      </c>
      <c r="S113" s="3">
        <f>SUM(Table3[[#This Row],[CNA Hours]], Table3[[#This Row],[NA TR Hours]], Table3[[#This Row],[Med Aide/Tech Hours]])</f>
        <v>116.26366666666668</v>
      </c>
      <c r="T113" s="3">
        <v>107.90322222222223</v>
      </c>
      <c r="U113" s="3">
        <v>1.4661111111111114</v>
      </c>
      <c r="V113" s="3">
        <v>6.8943333333333339</v>
      </c>
      <c r="W113" s="3">
        <f>SUM(Table3[[#This Row],[RN Hours Contract]:[Med Aide Hours Contract]])</f>
        <v>0</v>
      </c>
      <c r="X113" s="3">
        <v>0</v>
      </c>
      <c r="Y113" s="3">
        <v>0</v>
      </c>
      <c r="Z113" s="3">
        <v>0</v>
      </c>
      <c r="AA113" s="3">
        <v>0</v>
      </c>
      <c r="AB113" s="3">
        <v>0</v>
      </c>
      <c r="AC113" s="3">
        <v>0</v>
      </c>
      <c r="AD113" s="3">
        <v>0</v>
      </c>
      <c r="AE113" s="3">
        <v>0</v>
      </c>
      <c r="AF113" t="s">
        <v>111</v>
      </c>
      <c r="AG113" s="13">
        <v>10</v>
      </c>
      <c r="AQ113"/>
    </row>
    <row r="114" spans="1:43" x14ac:dyDescent="0.2">
      <c r="A114" t="s">
        <v>128</v>
      </c>
      <c r="B114" t="s">
        <v>241</v>
      </c>
      <c r="C114" t="s">
        <v>260</v>
      </c>
      <c r="D114" t="s">
        <v>344</v>
      </c>
      <c r="E114" s="3">
        <v>31.111111111111111</v>
      </c>
      <c r="F114" s="3">
        <f>Table3[[#This Row],[Total Hours Nurse Staffing]]/Table3[[#This Row],[MDS Census]]</f>
        <v>6.3928821428571432</v>
      </c>
      <c r="G114" s="3">
        <f>Table3[[#This Row],[Total Direct Care Staff Hours]]/Table3[[#This Row],[MDS Census]]</f>
        <v>6.0147714285714287</v>
      </c>
      <c r="H114" s="3">
        <f>Table3[[#This Row],[Total RN Hours (w/ Admin, DON)]]/Table3[[#This Row],[MDS Census]]</f>
        <v>0.49949642857142856</v>
      </c>
      <c r="I114" s="3">
        <f>Table3[[#This Row],[RN Hours (excl. Admin, DON)]]/Table3[[#This Row],[MDS Census]]</f>
        <v>0.34235357142857142</v>
      </c>
      <c r="J114" s="3">
        <f t="shared" si="2"/>
        <v>198.88966666666667</v>
      </c>
      <c r="K114" s="3">
        <f>SUM(Table3[[#This Row],[RN Hours (excl. Admin, DON)]], Table3[[#This Row],[LPN Hours (excl. Admin)]], Table3[[#This Row],[CNA Hours]], Table3[[#This Row],[NA TR Hours]], Table3[[#This Row],[Med Aide/Tech Hours]])</f>
        <v>187.12622222222222</v>
      </c>
      <c r="L114" s="3">
        <f>SUM(Table3[[#This Row],[RN Hours (excl. Admin, DON)]:[RN DON Hours]])</f>
        <v>15.539888888888889</v>
      </c>
      <c r="M114" s="3">
        <v>10.651</v>
      </c>
      <c r="N114" s="3">
        <v>0</v>
      </c>
      <c r="O114" s="3">
        <v>4.8888888888888893</v>
      </c>
      <c r="P114" s="3">
        <f>SUM(Table3[[#This Row],[LPN Hours (excl. Admin)]:[LPN Admin Hours]])</f>
        <v>42.379888888888885</v>
      </c>
      <c r="Q114" s="3">
        <v>35.505333333333333</v>
      </c>
      <c r="R114" s="3">
        <v>6.8745555555555562</v>
      </c>
      <c r="S114" s="3">
        <f>SUM(Table3[[#This Row],[CNA Hours]], Table3[[#This Row],[NA TR Hours]], Table3[[#This Row],[Med Aide/Tech Hours]])</f>
        <v>140.9698888888889</v>
      </c>
      <c r="T114" s="3">
        <v>107.43244444444444</v>
      </c>
      <c r="U114" s="3">
        <v>21.880444444444436</v>
      </c>
      <c r="V114" s="3">
        <v>11.656999999999998</v>
      </c>
      <c r="W114" s="3">
        <f>SUM(Table3[[#This Row],[RN Hours Contract]:[Med Aide Hours Contract]])</f>
        <v>31.629444444444442</v>
      </c>
      <c r="X114" s="3">
        <v>5.793333333333333</v>
      </c>
      <c r="Y114" s="3">
        <v>0</v>
      </c>
      <c r="Z114" s="3">
        <v>0</v>
      </c>
      <c r="AA114" s="3">
        <v>2.7888888888888888</v>
      </c>
      <c r="AB114" s="3">
        <v>0</v>
      </c>
      <c r="AC114" s="3">
        <v>22.113888888888887</v>
      </c>
      <c r="AD114" s="3">
        <v>0</v>
      </c>
      <c r="AE114" s="3">
        <v>0.93333333333333335</v>
      </c>
      <c r="AF114" t="s">
        <v>112</v>
      </c>
      <c r="AG114" s="13">
        <v>10</v>
      </c>
      <c r="AQ114"/>
    </row>
    <row r="115" spans="1:43" x14ac:dyDescent="0.2">
      <c r="A115" t="s">
        <v>128</v>
      </c>
      <c r="B115" t="s">
        <v>242</v>
      </c>
      <c r="C115" t="s">
        <v>281</v>
      </c>
      <c r="D115" t="s">
        <v>335</v>
      </c>
      <c r="E115" s="3">
        <v>14.188888888888888</v>
      </c>
      <c r="F115" s="3">
        <f>Table3[[#This Row],[Total Hours Nurse Staffing]]/Table3[[#This Row],[MDS Census]]</f>
        <v>7.3947768206734539</v>
      </c>
      <c r="G115" s="3">
        <f>Table3[[#This Row],[Total Direct Care Staff Hours]]/Table3[[#This Row],[MDS Census]]</f>
        <v>6.6735552075176203</v>
      </c>
      <c r="H115" s="3">
        <f>Table3[[#This Row],[Total RN Hours (w/ Admin, DON)]]/Table3[[#This Row],[MDS Census]]</f>
        <v>1.4943931088488644</v>
      </c>
      <c r="I115" s="3">
        <f>Table3[[#This Row],[RN Hours (excl. Admin, DON)]]/Table3[[#This Row],[MDS Census]]</f>
        <v>0.77317149569303056</v>
      </c>
      <c r="J115" s="3">
        <f t="shared" si="2"/>
        <v>104.92366666666666</v>
      </c>
      <c r="K115" s="3">
        <f>SUM(Table3[[#This Row],[RN Hours (excl. Admin, DON)]], Table3[[#This Row],[LPN Hours (excl. Admin)]], Table3[[#This Row],[CNA Hours]], Table3[[#This Row],[NA TR Hours]], Table3[[#This Row],[Med Aide/Tech Hours]])</f>
        <v>94.690333333333342</v>
      </c>
      <c r="L115" s="3">
        <f>SUM(Table3[[#This Row],[RN Hours (excl. Admin, DON)]:[RN DON Hours]])</f>
        <v>21.203777777777777</v>
      </c>
      <c r="M115" s="3">
        <v>10.970444444444444</v>
      </c>
      <c r="N115" s="3">
        <v>5.15</v>
      </c>
      <c r="O115" s="3">
        <v>5.083333333333333</v>
      </c>
      <c r="P115" s="3">
        <f>SUM(Table3[[#This Row],[LPN Hours (excl. Admin)]:[LPN Admin Hours]])</f>
        <v>14.47488888888889</v>
      </c>
      <c r="Q115" s="3">
        <v>14.47488888888889</v>
      </c>
      <c r="R115" s="3">
        <v>0</v>
      </c>
      <c r="S115" s="3">
        <f>SUM(Table3[[#This Row],[CNA Hours]], Table3[[#This Row],[NA TR Hours]], Table3[[#This Row],[Med Aide/Tech Hours]])</f>
        <v>69.245000000000005</v>
      </c>
      <c r="T115" s="3">
        <v>61.134555555555551</v>
      </c>
      <c r="U115" s="3">
        <v>0</v>
      </c>
      <c r="V115" s="3">
        <v>8.1104444444444468</v>
      </c>
      <c r="W115" s="3">
        <f>SUM(Table3[[#This Row],[RN Hours Contract]:[Med Aide Hours Contract]])</f>
        <v>2.2835555555555556</v>
      </c>
      <c r="X115" s="3">
        <v>0.62588888888888883</v>
      </c>
      <c r="Y115" s="3">
        <v>0</v>
      </c>
      <c r="Z115" s="3">
        <v>0</v>
      </c>
      <c r="AA115" s="3">
        <v>0.58166666666666667</v>
      </c>
      <c r="AB115" s="3">
        <v>0</v>
      </c>
      <c r="AC115" s="3">
        <v>1.0760000000000001</v>
      </c>
      <c r="AD115" s="3">
        <v>0</v>
      </c>
      <c r="AE115" s="3">
        <v>0</v>
      </c>
      <c r="AF115" t="s">
        <v>113</v>
      </c>
      <c r="AG115" s="13">
        <v>10</v>
      </c>
      <c r="AQ115"/>
    </row>
    <row r="116" spans="1:43" x14ac:dyDescent="0.2">
      <c r="A116" t="s">
        <v>128</v>
      </c>
      <c r="B116" t="s">
        <v>243</v>
      </c>
      <c r="C116" t="s">
        <v>263</v>
      </c>
      <c r="D116" t="s">
        <v>334</v>
      </c>
      <c r="E116" s="3">
        <v>31.977777777777778</v>
      </c>
      <c r="F116" s="3">
        <f>Table3[[#This Row],[Total Hours Nurse Staffing]]/Table3[[#This Row],[MDS Census]]</f>
        <v>5.1847289784572617</v>
      </c>
      <c r="G116" s="3">
        <f>Table3[[#This Row],[Total Direct Care Staff Hours]]/Table3[[#This Row],[MDS Census]]</f>
        <v>4.8609173036831139</v>
      </c>
      <c r="H116" s="3">
        <f>Table3[[#This Row],[Total RN Hours (w/ Admin, DON)]]/Table3[[#This Row],[MDS Census]]</f>
        <v>0.79250521195274493</v>
      </c>
      <c r="I116" s="3">
        <f>Table3[[#This Row],[RN Hours (excl. Admin, DON)]]/Table3[[#This Row],[MDS Census]]</f>
        <v>0.65421473245309236</v>
      </c>
      <c r="J116" s="3">
        <f t="shared" si="2"/>
        <v>165.79611111111109</v>
      </c>
      <c r="K116" s="3">
        <f>SUM(Table3[[#This Row],[RN Hours (excl. Admin, DON)]], Table3[[#This Row],[LPN Hours (excl. Admin)]], Table3[[#This Row],[CNA Hours]], Table3[[#This Row],[NA TR Hours]], Table3[[#This Row],[Med Aide/Tech Hours]])</f>
        <v>155.44133333333335</v>
      </c>
      <c r="L116" s="3">
        <f>SUM(Table3[[#This Row],[RN Hours (excl. Admin, DON)]:[RN DON Hours]])</f>
        <v>25.342555555555556</v>
      </c>
      <c r="M116" s="3">
        <v>20.920333333333332</v>
      </c>
      <c r="N116" s="3">
        <v>0</v>
      </c>
      <c r="O116" s="3">
        <v>4.4222222222222225</v>
      </c>
      <c r="P116" s="3">
        <f>SUM(Table3[[#This Row],[LPN Hours (excl. Admin)]:[LPN Admin Hours]])</f>
        <v>28.541777777777778</v>
      </c>
      <c r="Q116" s="3">
        <v>22.609222222222222</v>
      </c>
      <c r="R116" s="3">
        <v>5.932555555555556</v>
      </c>
      <c r="S116" s="3">
        <f>SUM(Table3[[#This Row],[CNA Hours]], Table3[[#This Row],[NA TR Hours]], Table3[[#This Row],[Med Aide/Tech Hours]])</f>
        <v>111.91177777777777</v>
      </c>
      <c r="T116" s="3">
        <v>101.44266666666667</v>
      </c>
      <c r="U116" s="3">
        <v>0</v>
      </c>
      <c r="V116" s="3">
        <v>10.469111111111109</v>
      </c>
      <c r="W116" s="3">
        <f>SUM(Table3[[#This Row],[RN Hours Contract]:[Med Aide Hours Contract]])</f>
        <v>10.547555555555554</v>
      </c>
      <c r="X116" s="3">
        <v>2.6978888888888886</v>
      </c>
      <c r="Y116" s="3">
        <v>0</v>
      </c>
      <c r="Z116" s="3">
        <v>0</v>
      </c>
      <c r="AA116" s="3">
        <v>1.0311111111111111</v>
      </c>
      <c r="AB116" s="3">
        <v>0</v>
      </c>
      <c r="AC116" s="3">
        <v>6.8185555555555553</v>
      </c>
      <c r="AD116" s="3">
        <v>0</v>
      </c>
      <c r="AE116" s="3">
        <v>0</v>
      </c>
      <c r="AF116" t="s">
        <v>114</v>
      </c>
      <c r="AG116" s="13">
        <v>10</v>
      </c>
      <c r="AQ116"/>
    </row>
    <row r="117" spans="1:43" x14ac:dyDescent="0.2">
      <c r="A117" t="s">
        <v>128</v>
      </c>
      <c r="B117" t="s">
        <v>244</v>
      </c>
      <c r="C117" t="s">
        <v>315</v>
      </c>
      <c r="D117" t="s">
        <v>339</v>
      </c>
      <c r="E117" s="3">
        <v>60.37777777777778</v>
      </c>
      <c r="F117" s="3">
        <f>Table3[[#This Row],[Total Hours Nurse Staffing]]/Table3[[#This Row],[MDS Census]]</f>
        <v>4.0249355907250646</v>
      </c>
      <c r="G117" s="3">
        <f>Table3[[#This Row],[Total Direct Care Staff Hours]]/Table3[[#This Row],[MDS Census]]</f>
        <v>3.3268770702981225</v>
      </c>
      <c r="H117" s="3">
        <f>Table3[[#This Row],[Total RN Hours (w/ Admin, DON)]]/Table3[[#This Row],[MDS Census]]</f>
        <v>0.46567905778432089</v>
      </c>
      <c r="I117" s="3">
        <f>Table3[[#This Row],[RN Hours (excl. Admin, DON)]]/Table3[[#This Row],[MDS Census]]</f>
        <v>0.20380934854619065</v>
      </c>
      <c r="J117" s="3">
        <f t="shared" si="2"/>
        <v>243.01666666666668</v>
      </c>
      <c r="K117" s="3">
        <f>SUM(Table3[[#This Row],[RN Hours (excl. Admin, DON)]], Table3[[#This Row],[LPN Hours (excl. Admin)]], Table3[[#This Row],[CNA Hours]], Table3[[#This Row],[NA TR Hours]], Table3[[#This Row],[Med Aide/Tech Hours]])</f>
        <v>200.86944444444444</v>
      </c>
      <c r="L117" s="3">
        <f>SUM(Table3[[#This Row],[RN Hours (excl. Admin, DON)]:[RN DON Hours]])</f>
        <v>28.116666666666664</v>
      </c>
      <c r="M117" s="3">
        <v>12.305555555555555</v>
      </c>
      <c r="N117" s="3">
        <v>10.655555555555555</v>
      </c>
      <c r="O117" s="3">
        <v>5.1555555555555559</v>
      </c>
      <c r="P117" s="3">
        <f>SUM(Table3[[#This Row],[LPN Hours (excl. Admin)]:[LPN Admin Hours]])</f>
        <v>26.336111111111112</v>
      </c>
      <c r="Q117" s="3">
        <v>0</v>
      </c>
      <c r="R117" s="3">
        <v>26.336111111111112</v>
      </c>
      <c r="S117" s="3">
        <f>SUM(Table3[[#This Row],[CNA Hours]], Table3[[#This Row],[NA TR Hours]], Table3[[#This Row],[Med Aide/Tech Hours]])</f>
        <v>188.5638888888889</v>
      </c>
      <c r="T117" s="3">
        <v>148.10555555555555</v>
      </c>
      <c r="U117" s="3">
        <v>11.452777777777778</v>
      </c>
      <c r="V117" s="3">
        <v>29.005555555555556</v>
      </c>
      <c r="W117" s="3">
        <f>SUM(Table3[[#This Row],[RN Hours Contract]:[Med Aide Hours Contract]])</f>
        <v>0</v>
      </c>
      <c r="X117" s="3">
        <v>0</v>
      </c>
      <c r="Y117" s="3">
        <v>0</v>
      </c>
      <c r="Z117" s="3">
        <v>0</v>
      </c>
      <c r="AA117" s="3">
        <v>0</v>
      </c>
      <c r="AB117" s="3">
        <v>0</v>
      </c>
      <c r="AC117" s="3">
        <v>0</v>
      </c>
      <c r="AD117" s="3">
        <v>0</v>
      </c>
      <c r="AE117" s="3">
        <v>0</v>
      </c>
      <c r="AF117" t="s">
        <v>115</v>
      </c>
      <c r="AG117" s="13">
        <v>10</v>
      </c>
      <c r="AQ117"/>
    </row>
    <row r="118" spans="1:43" x14ac:dyDescent="0.2">
      <c r="A118" t="s">
        <v>128</v>
      </c>
      <c r="B118" t="s">
        <v>245</v>
      </c>
      <c r="C118" t="s">
        <v>316</v>
      </c>
      <c r="D118" t="s">
        <v>339</v>
      </c>
      <c r="E118" s="3">
        <v>40.43333333333333</v>
      </c>
      <c r="F118" s="3">
        <f>Table3[[#This Row],[Total Hours Nurse Staffing]]/Table3[[#This Row],[MDS Census]]</f>
        <v>5.4421077219016221</v>
      </c>
      <c r="G118" s="3">
        <f>Table3[[#This Row],[Total Direct Care Staff Hours]]/Table3[[#This Row],[MDS Census]]</f>
        <v>4.8688733168452876</v>
      </c>
      <c r="H118" s="3">
        <f>Table3[[#This Row],[Total RN Hours (w/ Admin, DON)]]/Table3[[#This Row],[MDS Census]]</f>
        <v>1.2423742786479806</v>
      </c>
      <c r="I118" s="3">
        <f>Table3[[#This Row],[RN Hours (excl. Admin, DON)]]/Table3[[#This Row],[MDS Census]]</f>
        <v>0.66913987359164617</v>
      </c>
      <c r="J118" s="3">
        <f t="shared" si="2"/>
        <v>220.04255555555557</v>
      </c>
      <c r="K118" s="3">
        <f>SUM(Table3[[#This Row],[RN Hours (excl. Admin, DON)]], Table3[[#This Row],[LPN Hours (excl. Admin)]], Table3[[#This Row],[CNA Hours]], Table3[[#This Row],[NA TR Hours]], Table3[[#This Row],[Med Aide/Tech Hours]])</f>
        <v>196.86477777777779</v>
      </c>
      <c r="L118" s="3">
        <f>SUM(Table3[[#This Row],[RN Hours (excl. Admin, DON)]:[RN DON Hours]])</f>
        <v>50.233333333333341</v>
      </c>
      <c r="M118" s="3">
        <v>27.055555555555557</v>
      </c>
      <c r="N118" s="3">
        <v>17.577777777777779</v>
      </c>
      <c r="O118" s="3">
        <v>5.6</v>
      </c>
      <c r="P118" s="3">
        <f>SUM(Table3[[#This Row],[LPN Hours (excl. Admin)]:[LPN Admin Hours]])</f>
        <v>54.569444444444443</v>
      </c>
      <c r="Q118" s="3">
        <v>54.569444444444443</v>
      </c>
      <c r="R118" s="3">
        <v>0</v>
      </c>
      <c r="S118" s="3">
        <f>SUM(Table3[[#This Row],[CNA Hours]], Table3[[#This Row],[NA TR Hours]], Table3[[#This Row],[Med Aide/Tech Hours]])</f>
        <v>115.23977777777777</v>
      </c>
      <c r="T118" s="3">
        <v>98.834222222222223</v>
      </c>
      <c r="U118" s="3">
        <v>16.405555555555555</v>
      </c>
      <c r="V118" s="3">
        <v>0</v>
      </c>
      <c r="W118" s="3">
        <f>SUM(Table3[[#This Row],[RN Hours Contract]:[Med Aide Hours Contract]])</f>
        <v>19.103666666666669</v>
      </c>
      <c r="X118" s="3">
        <v>0.9555555555555556</v>
      </c>
      <c r="Y118" s="3">
        <v>0</v>
      </c>
      <c r="Z118" s="3">
        <v>0</v>
      </c>
      <c r="AA118" s="3">
        <v>9.594444444444445</v>
      </c>
      <c r="AB118" s="3">
        <v>0</v>
      </c>
      <c r="AC118" s="3">
        <v>8.5536666666666665</v>
      </c>
      <c r="AD118" s="3">
        <v>0</v>
      </c>
      <c r="AE118" s="3">
        <v>0</v>
      </c>
      <c r="AF118" t="s">
        <v>116</v>
      </c>
      <c r="AG118" s="13">
        <v>10</v>
      </c>
      <c r="AQ118"/>
    </row>
    <row r="119" spans="1:43" x14ac:dyDescent="0.2">
      <c r="A119" t="s">
        <v>128</v>
      </c>
      <c r="B119" t="s">
        <v>246</v>
      </c>
      <c r="C119" t="s">
        <v>267</v>
      </c>
      <c r="D119" t="s">
        <v>331</v>
      </c>
      <c r="E119" s="3">
        <v>131.57777777777778</v>
      </c>
      <c r="F119" s="3">
        <f>Table3[[#This Row],[Total Hours Nurse Staffing]]/Table3[[#This Row],[MDS Census]]</f>
        <v>5.5115039689241678</v>
      </c>
      <c r="G119" s="3">
        <f>Table3[[#This Row],[Total Direct Care Staff Hours]]/Table3[[#This Row],[MDS Census]]</f>
        <v>5.3501925350447559</v>
      </c>
      <c r="H119" s="3">
        <f>Table3[[#This Row],[Total RN Hours (w/ Admin, DON)]]/Table3[[#This Row],[MDS Census]]</f>
        <v>0.68989613241006575</v>
      </c>
      <c r="I119" s="3">
        <f>Table3[[#This Row],[RN Hours (excl. Admin, DON)]]/Table3[[#This Row],[MDS Census]]</f>
        <v>0.62031329167370375</v>
      </c>
      <c r="J119" s="3">
        <f t="shared" si="2"/>
        <v>725.19144444444441</v>
      </c>
      <c r="K119" s="3">
        <f>SUM(Table3[[#This Row],[RN Hours (excl. Admin, DON)]], Table3[[#This Row],[LPN Hours (excl. Admin)]], Table3[[#This Row],[CNA Hours]], Table3[[#This Row],[NA TR Hours]], Table3[[#This Row],[Med Aide/Tech Hours]])</f>
        <v>703.96644444444451</v>
      </c>
      <c r="L119" s="3">
        <f>SUM(Table3[[#This Row],[RN Hours (excl. Admin, DON)]:[RN DON Hours]])</f>
        <v>90.774999999999991</v>
      </c>
      <c r="M119" s="3">
        <v>81.61944444444444</v>
      </c>
      <c r="N119" s="3">
        <v>4.9777777777777779</v>
      </c>
      <c r="O119" s="3">
        <v>4.177777777777778</v>
      </c>
      <c r="P119" s="3">
        <f>SUM(Table3[[#This Row],[LPN Hours (excl. Admin)]:[LPN Admin Hours]])</f>
        <v>161.18611111111113</v>
      </c>
      <c r="Q119" s="3">
        <v>149.11666666666667</v>
      </c>
      <c r="R119" s="3">
        <v>12.069444444444445</v>
      </c>
      <c r="S119" s="3">
        <f>SUM(Table3[[#This Row],[CNA Hours]], Table3[[#This Row],[NA TR Hours]], Table3[[#This Row],[Med Aide/Tech Hours]])</f>
        <v>473.23033333333336</v>
      </c>
      <c r="T119" s="3">
        <v>473.23033333333336</v>
      </c>
      <c r="U119" s="3">
        <v>0</v>
      </c>
      <c r="V119" s="3">
        <v>0</v>
      </c>
      <c r="W119" s="3">
        <f>SUM(Table3[[#This Row],[RN Hours Contract]:[Med Aide Hours Contract]])</f>
        <v>9.0196666666666676</v>
      </c>
      <c r="X119" s="3">
        <v>0.53333333333333333</v>
      </c>
      <c r="Y119" s="3">
        <v>0</v>
      </c>
      <c r="Z119" s="3">
        <v>0</v>
      </c>
      <c r="AA119" s="3">
        <v>4.4000000000000004</v>
      </c>
      <c r="AB119" s="3">
        <v>0</v>
      </c>
      <c r="AC119" s="3">
        <v>4.086333333333334</v>
      </c>
      <c r="AD119" s="3">
        <v>0</v>
      </c>
      <c r="AE119" s="3">
        <v>0</v>
      </c>
      <c r="AF119" t="s">
        <v>117</v>
      </c>
      <c r="AG119" s="13">
        <v>10</v>
      </c>
      <c r="AQ119"/>
    </row>
    <row r="120" spans="1:43" x14ac:dyDescent="0.2">
      <c r="A120" t="s">
        <v>128</v>
      </c>
      <c r="B120" t="s">
        <v>247</v>
      </c>
      <c r="C120" t="s">
        <v>289</v>
      </c>
      <c r="D120" t="s">
        <v>341</v>
      </c>
      <c r="E120" s="3">
        <v>25.944444444444443</v>
      </c>
      <c r="F120" s="3">
        <f>Table3[[#This Row],[Total Hours Nurse Staffing]]/Table3[[#This Row],[MDS Census]]</f>
        <v>5.8763768736616697</v>
      </c>
      <c r="G120" s="3">
        <f>Table3[[#This Row],[Total Direct Care Staff Hours]]/Table3[[#This Row],[MDS Census]]</f>
        <v>5.49741755888651</v>
      </c>
      <c r="H120" s="3">
        <f>Table3[[#This Row],[Total RN Hours (w/ Admin, DON)]]/Table3[[#This Row],[MDS Census]]</f>
        <v>0.93131477516059957</v>
      </c>
      <c r="I120" s="3">
        <f>Table3[[#This Row],[RN Hours (excl. Admin, DON)]]/Table3[[#This Row],[MDS Census]]</f>
        <v>0.72608565310492512</v>
      </c>
      <c r="J120" s="3">
        <f t="shared" si="2"/>
        <v>152.45933333333332</v>
      </c>
      <c r="K120" s="3">
        <f>SUM(Table3[[#This Row],[RN Hours (excl. Admin, DON)]], Table3[[#This Row],[LPN Hours (excl. Admin)]], Table3[[#This Row],[CNA Hours]], Table3[[#This Row],[NA TR Hours]], Table3[[#This Row],[Med Aide/Tech Hours]])</f>
        <v>142.62744444444445</v>
      </c>
      <c r="L120" s="3">
        <f>SUM(Table3[[#This Row],[RN Hours (excl. Admin, DON)]:[RN DON Hours]])</f>
        <v>24.162444444444443</v>
      </c>
      <c r="M120" s="3">
        <v>18.837888888888891</v>
      </c>
      <c r="N120" s="3">
        <v>2.7712222222222227</v>
      </c>
      <c r="O120" s="3">
        <v>2.5533333333333323</v>
      </c>
      <c r="P120" s="3">
        <f>SUM(Table3[[#This Row],[LPN Hours (excl. Admin)]:[LPN Admin Hours]])</f>
        <v>30.934444444444445</v>
      </c>
      <c r="Q120" s="3">
        <v>26.427111111111113</v>
      </c>
      <c r="R120" s="3">
        <v>4.5073333333333334</v>
      </c>
      <c r="S120" s="3">
        <f>SUM(Table3[[#This Row],[CNA Hours]], Table3[[#This Row],[NA TR Hours]], Table3[[#This Row],[Med Aide/Tech Hours]])</f>
        <v>97.362444444444435</v>
      </c>
      <c r="T120" s="3">
        <v>97.135999999999996</v>
      </c>
      <c r="U120" s="3">
        <v>0</v>
      </c>
      <c r="V120" s="3">
        <v>0.22644444444444448</v>
      </c>
      <c r="W120" s="3">
        <f>SUM(Table3[[#This Row],[RN Hours Contract]:[Med Aide Hours Contract]])</f>
        <v>48.646888888888888</v>
      </c>
      <c r="X120" s="3">
        <v>1.5666666666666667</v>
      </c>
      <c r="Y120" s="3">
        <v>0</v>
      </c>
      <c r="Z120" s="3">
        <v>0</v>
      </c>
      <c r="AA120" s="3">
        <v>11.841666666666667</v>
      </c>
      <c r="AB120" s="3">
        <v>0</v>
      </c>
      <c r="AC120" s="3">
        <v>35.238555555555557</v>
      </c>
      <c r="AD120" s="3">
        <v>0</v>
      </c>
      <c r="AE120" s="3">
        <v>0</v>
      </c>
      <c r="AF120" t="s">
        <v>118</v>
      </c>
      <c r="AG120" s="13">
        <v>10</v>
      </c>
      <c r="AQ120"/>
    </row>
    <row r="121" spans="1:43" x14ac:dyDescent="0.2">
      <c r="A121" t="s">
        <v>128</v>
      </c>
      <c r="B121" t="s">
        <v>248</v>
      </c>
      <c r="C121" t="s">
        <v>317</v>
      </c>
      <c r="D121" t="s">
        <v>324</v>
      </c>
      <c r="E121" s="3">
        <v>25.444444444444443</v>
      </c>
      <c r="F121" s="3">
        <f>Table3[[#This Row],[Total Hours Nurse Staffing]]/Table3[[#This Row],[MDS Census]]</f>
        <v>5.2732183406113551</v>
      </c>
      <c r="G121" s="3">
        <f>Table3[[#This Row],[Total Direct Care Staff Hours]]/Table3[[#This Row],[MDS Census]]</f>
        <v>4.9068427947598261</v>
      </c>
      <c r="H121" s="3">
        <f>Table3[[#This Row],[Total RN Hours (w/ Admin, DON)]]/Table3[[#This Row],[MDS Census]]</f>
        <v>0.82237991266375554</v>
      </c>
      <c r="I121" s="3">
        <f>Table3[[#This Row],[RN Hours (excl. Admin, DON)]]/Table3[[#This Row],[MDS Census]]</f>
        <v>0.45600436681222711</v>
      </c>
      <c r="J121" s="3">
        <f t="shared" si="2"/>
        <v>134.17411111111113</v>
      </c>
      <c r="K121" s="3">
        <f>SUM(Table3[[#This Row],[RN Hours (excl. Admin, DON)]], Table3[[#This Row],[LPN Hours (excl. Admin)]], Table3[[#This Row],[CNA Hours]], Table3[[#This Row],[NA TR Hours]], Table3[[#This Row],[Med Aide/Tech Hours]])</f>
        <v>124.85188888888889</v>
      </c>
      <c r="L121" s="3">
        <f>SUM(Table3[[#This Row],[RN Hours (excl. Admin, DON)]:[RN DON Hours]])</f>
        <v>20.925000000000001</v>
      </c>
      <c r="M121" s="3">
        <v>11.602777777777778</v>
      </c>
      <c r="N121" s="3">
        <v>3.0777777777777779</v>
      </c>
      <c r="O121" s="3">
        <v>6.2444444444444445</v>
      </c>
      <c r="P121" s="3">
        <f>SUM(Table3[[#This Row],[LPN Hours (excl. Admin)]:[LPN Admin Hours]])</f>
        <v>20.774999999999999</v>
      </c>
      <c r="Q121" s="3">
        <v>20.774999999999999</v>
      </c>
      <c r="R121" s="3">
        <v>0</v>
      </c>
      <c r="S121" s="3">
        <f>SUM(Table3[[#This Row],[CNA Hours]], Table3[[#This Row],[NA TR Hours]], Table3[[#This Row],[Med Aide/Tech Hours]])</f>
        <v>92.474111111111114</v>
      </c>
      <c r="T121" s="3">
        <v>81.057444444444442</v>
      </c>
      <c r="U121" s="3">
        <v>0</v>
      </c>
      <c r="V121" s="3">
        <v>11.416666666666666</v>
      </c>
      <c r="W121" s="3">
        <f>SUM(Table3[[#This Row],[RN Hours Contract]:[Med Aide Hours Contract]])</f>
        <v>10.760222222222222</v>
      </c>
      <c r="X121" s="3">
        <v>0</v>
      </c>
      <c r="Y121" s="3">
        <v>0</v>
      </c>
      <c r="Z121" s="3">
        <v>0</v>
      </c>
      <c r="AA121" s="3">
        <v>0</v>
      </c>
      <c r="AB121" s="3">
        <v>0</v>
      </c>
      <c r="AC121" s="3">
        <v>10.760222222222222</v>
      </c>
      <c r="AD121" s="3">
        <v>0</v>
      </c>
      <c r="AE121" s="3">
        <v>0</v>
      </c>
      <c r="AF121" t="s">
        <v>119</v>
      </c>
      <c r="AG121" s="13">
        <v>10</v>
      </c>
      <c r="AQ121"/>
    </row>
    <row r="122" spans="1:43" x14ac:dyDescent="0.2">
      <c r="A122" t="s">
        <v>128</v>
      </c>
      <c r="B122" t="s">
        <v>249</v>
      </c>
      <c r="C122" t="s">
        <v>263</v>
      </c>
      <c r="D122" t="s">
        <v>321</v>
      </c>
      <c r="E122" s="3">
        <v>37.777777777777779</v>
      </c>
      <c r="F122" s="3">
        <f>Table3[[#This Row],[Total Hours Nurse Staffing]]/Table3[[#This Row],[MDS Census]]</f>
        <v>4.37845</v>
      </c>
      <c r="G122" s="3">
        <f>Table3[[#This Row],[Total Direct Care Staff Hours]]/Table3[[#This Row],[MDS Census]]</f>
        <v>4.0208029411764707</v>
      </c>
      <c r="H122" s="3">
        <f>Table3[[#This Row],[Total RN Hours (w/ Admin, DON)]]/Table3[[#This Row],[MDS Census]]</f>
        <v>0.70301470588235293</v>
      </c>
      <c r="I122" s="3">
        <f>Table3[[#This Row],[RN Hours (excl. Admin, DON)]]/Table3[[#This Row],[MDS Census]]</f>
        <v>0.34536764705882356</v>
      </c>
      <c r="J122" s="3">
        <f t="shared" si="2"/>
        <v>165.40811111111111</v>
      </c>
      <c r="K122" s="3">
        <f>SUM(Table3[[#This Row],[RN Hours (excl. Admin, DON)]], Table3[[#This Row],[LPN Hours (excl. Admin)]], Table3[[#This Row],[CNA Hours]], Table3[[#This Row],[NA TR Hours]], Table3[[#This Row],[Med Aide/Tech Hours]])</f>
        <v>151.89700000000002</v>
      </c>
      <c r="L122" s="3">
        <f>SUM(Table3[[#This Row],[RN Hours (excl. Admin, DON)]:[RN DON Hours]])</f>
        <v>26.558333333333334</v>
      </c>
      <c r="M122" s="3">
        <v>13.047222222222222</v>
      </c>
      <c r="N122" s="3">
        <v>8.7111111111111104</v>
      </c>
      <c r="O122" s="3">
        <v>4.8</v>
      </c>
      <c r="P122" s="3">
        <f>SUM(Table3[[#This Row],[LPN Hours (excl. Admin)]:[LPN Admin Hours]])</f>
        <v>15.641666666666667</v>
      </c>
      <c r="Q122" s="3">
        <v>15.641666666666667</v>
      </c>
      <c r="R122" s="3">
        <v>0</v>
      </c>
      <c r="S122" s="3">
        <f>SUM(Table3[[#This Row],[CNA Hours]], Table3[[#This Row],[NA TR Hours]], Table3[[#This Row],[Med Aide/Tech Hours]])</f>
        <v>123.20811111111111</v>
      </c>
      <c r="T122" s="3">
        <v>108.53311111111111</v>
      </c>
      <c r="U122" s="3">
        <v>0</v>
      </c>
      <c r="V122" s="3">
        <v>14.675000000000001</v>
      </c>
      <c r="W122" s="3">
        <f>SUM(Table3[[#This Row],[RN Hours Contract]:[Med Aide Hours Contract]])</f>
        <v>1.2914444444444444</v>
      </c>
      <c r="X122" s="3">
        <v>0</v>
      </c>
      <c r="Y122" s="3">
        <v>0</v>
      </c>
      <c r="Z122" s="3">
        <v>0</v>
      </c>
      <c r="AA122" s="3">
        <v>0.45833333333333331</v>
      </c>
      <c r="AB122" s="3">
        <v>0</v>
      </c>
      <c r="AC122" s="3">
        <v>0.83311111111111102</v>
      </c>
      <c r="AD122" s="3">
        <v>0</v>
      </c>
      <c r="AE122" s="3">
        <v>0</v>
      </c>
      <c r="AF122" t="s">
        <v>120</v>
      </c>
      <c r="AG122" s="13">
        <v>10</v>
      </c>
      <c r="AQ122"/>
    </row>
    <row r="123" spans="1:43" x14ac:dyDescent="0.2">
      <c r="A123" t="s">
        <v>128</v>
      </c>
      <c r="B123" t="s">
        <v>250</v>
      </c>
      <c r="C123" t="s">
        <v>263</v>
      </c>
      <c r="D123" t="s">
        <v>339</v>
      </c>
      <c r="E123" s="3">
        <v>34.200000000000003</v>
      </c>
      <c r="F123" s="3">
        <f>Table3[[#This Row],[Total Hours Nurse Staffing]]/Table3[[#This Row],[MDS Census]]</f>
        <v>5.6552371669915535</v>
      </c>
      <c r="G123" s="3">
        <f>Table3[[#This Row],[Total Direct Care Staff Hours]]/Table3[[#This Row],[MDS Census]]</f>
        <v>5.2900649772579609</v>
      </c>
      <c r="H123" s="3">
        <f>Table3[[#This Row],[Total RN Hours (w/ Admin, DON)]]/Table3[[#This Row],[MDS Census]]</f>
        <v>0.82397985705003252</v>
      </c>
      <c r="I123" s="3">
        <f>Table3[[#This Row],[RN Hours (excl. Admin, DON)]]/Table3[[#This Row],[MDS Census]]</f>
        <v>0.45880766731643924</v>
      </c>
      <c r="J123" s="3">
        <f t="shared" si="2"/>
        <v>193.40911111111114</v>
      </c>
      <c r="K123" s="3">
        <f>SUM(Table3[[#This Row],[RN Hours (excl. Admin, DON)]], Table3[[#This Row],[LPN Hours (excl. Admin)]], Table3[[#This Row],[CNA Hours]], Table3[[#This Row],[NA TR Hours]], Table3[[#This Row],[Med Aide/Tech Hours]])</f>
        <v>180.92022222222226</v>
      </c>
      <c r="L123" s="3">
        <f>SUM(Table3[[#This Row],[RN Hours (excl. Admin, DON)]:[RN DON Hours]])</f>
        <v>28.180111111111113</v>
      </c>
      <c r="M123" s="3">
        <v>15.691222222222223</v>
      </c>
      <c r="N123" s="3">
        <v>7.4222222222222225</v>
      </c>
      <c r="O123" s="3">
        <v>5.0666666666666664</v>
      </c>
      <c r="P123" s="3">
        <f>SUM(Table3[[#This Row],[LPN Hours (excl. Admin)]:[LPN Admin Hours]])</f>
        <v>23.916666666666668</v>
      </c>
      <c r="Q123" s="3">
        <v>23.916666666666668</v>
      </c>
      <c r="R123" s="3">
        <v>0</v>
      </c>
      <c r="S123" s="3">
        <f>SUM(Table3[[#This Row],[CNA Hours]], Table3[[#This Row],[NA TR Hours]], Table3[[#This Row],[Med Aide/Tech Hours]])</f>
        <v>141.31233333333336</v>
      </c>
      <c r="T123" s="3">
        <v>134.18655555555557</v>
      </c>
      <c r="U123" s="3">
        <v>1.1013333333333333</v>
      </c>
      <c r="V123" s="3">
        <v>6.0244444444444465</v>
      </c>
      <c r="W123" s="3">
        <f>SUM(Table3[[#This Row],[RN Hours Contract]:[Med Aide Hours Contract]])</f>
        <v>0</v>
      </c>
      <c r="X123" s="3">
        <v>0</v>
      </c>
      <c r="Y123" s="3">
        <v>0</v>
      </c>
      <c r="Z123" s="3">
        <v>0</v>
      </c>
      <c r="AA123" s="3">
        <v>0</v>
      </c>
      <c r="AB123" s="3">
        <v>0</v>
      </c>
      <c r="AC123" s="3">
        <v>0</v>
      </c>
      <c r="AD123" s="3">
        <v>0</v>
      </c>
      <c r="AE123" s="3">
        <v>0</v>
      </c>
      <c r="AF123" t="s">
        <v>121</v>
      </c>
      <c r="AG123" s="13">
        <v>10</v>
      </c>
      <c r="AQ123"/>
    </row>
    <row r="124" spans="1:43" x14ac:dyDescent="0.2">
      <c r="A124" t="s">
        <v>128</v>
      </c>
      <c r="B124" t="s">
        <v>251</v>
      </c>
      <c r="C124" t="s">
        <v>268</v>
      </c>
      <c r="D124" t="s">
        <v>326</v>
      </c>
      <c r="E124" s="3">
        <v>11.922222222222222</v>
      </c>
      <c r="F124" s="3">
        <f>Table3[[#This Row],[Total Hours Nurse Staffing]]/Table3[[#This Row],[MDS Census]]</f>
        <v>7.8278191985088537</v>
      </c>
      <c r="G124" s="3">
        <f>Table3[[#This Row],[Total Direct Care Staff Hours]]/Table3[[#This Row],[MDS Census]]</f>
        <v>7.0964585274930103</v>
      </c>
      <c r="H124" s="3">
        <f>Table3[[#This Row],[Total RN Hours (w/ Admin, DON)]]/Table3[[#This Row],[MDS Census]]</f>
        <v>2.3655638397017706</v>
      </c>
      <c r="I124" s="3">
        <f>Table3[[#This Row],[RN Hours (excl. Admin, DON)]]/Table3[[#This Row],[MDS Census]]</f>
        <v>1.6360671015843431</v>
      </c>
      <c r="J124" s="3">
        <f t="shared" si="2"/>
        <v>93.325000000000003</v>
      </c>
      <c r="K124" s="3">
        <f>SUM(Table3[[#This Row],[RN Hours (excl. Admin, DON)]], Table3[[#This Row],[LPN Hours (excl. Admin)]], Table3[[#This Row],[CNA Hours]], Table3[[#This Row],[NA TR Hours]], Table3[[#This Row],[Med Aide/Tech Hours]])</f>
        <v>84.605555555555554</v>
      </c>
      <c r="L124" s="3">
        <f>SUM(Table3[[#This Row],[RN Hours (excl. Admin, DON)]:[RN DON Hours]])</f>
        <v>28.202777777777779</v>
      </c>
      <c r="M124" s="3">
        <v>19.505555555555556</v>
      </c>
      <c r="N124" s="3">
        <v>4.9416666666666664</v>
      </c>
      <c r="O124" s="3">
        <v>3.7555555555555555</v>
      </c>
      <c r="P124" s="3">
        <f>SUM(Table3[[#This Row],[LPN Hours (excl. Admin)]:[LPN Admin Hours]])</f>
        <v>5.8166666666666664</v>
      </c>
      <c r="Q124" s="3">
        <v>5.7944444444444443</v>
      </c>
      <c r="R124" s="3">
        <v>2.2222222222222223E-2</v>
      </c>
      <c r="S124" s="3">
        <f>SUM(Table3[[#This Row],[CNA Hours]], Table3[[#This Row],[NA TR Hours]], Table3[[#This Row],[Med Aide/Tech Hours]])</f>
        <v>59.305555555555557</v>
      </c>
      <c r="T124" s="3">
        <v>59.305555555555557</v>
      </c>
      <c r="U124" s="3">
        <v>0</v>
      </c>
      <c r="V124" s="3">
        <v>0</v>
      </c>
      <c r="W124" s="3">
        <f>SUM(Table3[[#This Row],[RN Hours Contract]:[Med Aide Hours Contract]])</f>
        <v>27.975000000000001</v>
      </c>
      <c r="X124" s="3">
        <v>0</v>
      </c>
      <c r="Y124" s="3">
        <v>0</v>
      </c>
      <c r="Z124" s="3">
        <v>0</v>
      </c>
      <c r="AA124" s="3">
        <v>0.66666666666666663</v>
      </c>
      <c r="AB124" s="3">
        <v>0</v>
      </c>
      <c r="AC124" s="3">
        <v>27.308333333333334</v>
      </c>
      <c r="AD124" s="3">
        <v>0</v>
      </c>
      <c r="AE124" s="3">
        <v>0</v>
      </c>
      <c r="AF124" t="s">
        <v>122</v>
      </c>
      <c r="AG124" s="13">
        <v>10</v>
      </c>
      <c r="AQ124"/>
    </row>
    <row r="125" spans="1:43" x14ac:dyDescent="0.2">
      <c r="A125" t="s">
        <v>128</v>
      </c>
      <c r="B125" t="s">
        <v>252</v>
      </c>
      <c r="C125" t="s">
        <v>259</v>
      </c>
      <c r="D125" t="s">
        <v>322</v>
      </c>
      <c r="E125" s="3">
        <v>66.13333333333334</v>
      </c>
      <c r="F125" s="3">
        <f>Table3[[#This Row],[Total Hours Nurse Staffing]]/Table3[[#This Row],[MDS Census]]</f>
        <v>4.9988995295698917</v>
      </c>
      <c r="G125" s="3">
        <f>Table3[[#This Row],[Total Direct Care Staff Hours]]/Table3[[#This Row],[MDS Census]]</f>
        <v>4.7722194220430101</v>
      </c>
      <c r="H125" s="3">
        <f>Table3[[#This Row],[Total RN Hours (w/ Admin, DON)]]/Table3[[#This Row],[MDS Census]]</f>
        <v>0.33294690860215048</v>
      </c>
      <c r="I125" s="3">
        <f>Table3[[#This Row],[RN Hours (excl. Admin, DON)]]/Table3[[#This Row],[MDS Census]]</f>
        <v>0.1062668010752688</v>
      </c>
      <c r="J125" s="3">
        <f t="shared" si="2"/>
        <v>330.59388888888884</v>
      </c>
      <c r="K125" s="3">
        <f>SUM(Table3[[#This Row],[RN Hours (excl. Admin, DON)]], Table3[[#This Row],[LPN Hours (excl. Admin)]], Table3[[#This Row],[CNA Hours]], Table3[[#This Row],[NA TR Hours]], Table3[[#This Row],[Med Aide/Tech Hours]])</f>
        <v>315.60277777777776</v>
      </c>
      <c r="L125" s="3">
        <f>SUM(Table3[[#This Row],[RN Hours (excl. Admin, DON)]:[RN DON Hours]])</f>
        <v>22.018888888888888</v>
      </c>
      <c r="M125" s="3">
        <v>7.0277777777777777</v>
      </c>
      <c r="N125" s="3">
        <v>14.991111111111111</v>
      </c>
      <c r="O125" s="3">
        <v>0</v>
      </c>
      <c r="P125" s="3">
        <f>SUM(Table3[[#This Row],[LPN Hours (excl. Admin)]:[LPN Admin Hours]])</f>
        <v>50.75277777777778</v>
      </c>
      <c r="Q125" s="3">
        <v>50.75277777777778</v>
      </c>
      <c r="R125" s="3">
        <v>0</v>
      </c>
      <c r="S125" s="3">
        <f>SUM(Table3[[#This Row],[CNA Hours]], Table3[[#This Row],[NA TR Hours]], Table3[[#This Row],[Med Aide/Tech Hours]])</f>
        <v>257.82222222222219</v>
      </c>
      <c r="T125" s="3">
        <v>234.45555555555555</v>
      </c>
      <c r="U125" s="3">
        <v>0</v>
      </c>
      <c r="V125" s="3">
        <v>23.366666666666667</v>
      </c>
      <c r="W125" s="3">
        <f>SUM(Table3[[#This Row],[RN Hours Contract]:[Med Aide Hours Contract]])</f>
        <v>0.41055555555555556</v>
      </c>
      <c r="X125" s="3">
        <v>0</v>
      </c>
      <c r="Y125" s="3">
        <v>0.41055555555555556</v>
      </c>
      <c r="Z125" s="3">
        <v>0</v>
      </c>
      <c r="AA125" s="3">
        <v>0</v>
      </c>
      <c r="AB125" s="3">
        <v>0</v>
      </c>
      <c r="AC125" s="3">
        <v>0</v>
      </c>
      <c r="AD125" s="3">
        <v>0</v>
      </c>
      <c r="AE125" s="3">
        <v>0</v>
      </c>
      <c r="AF125" t="s">
        <v>123</v>
      </c>
      <c r="AG125" s="13">
        <v>10</v>
      </c>
      <c r="AQ125"/>
    </row>
    <row r="126" spans="1:43" x14ac:dyDescent="0.2">
      <c r="A126" t="s">
        <v>128</v>
      </c>
      <c r="B126" t="s">
        <v>253</v>
      </c>
      <c r="C126" t="s">
        <v>263</v>
      </c>
      <c r="D126" t="s">
        <v>334</v>
      </c>
      <c r="E126" s="3">
        <v>19.511111111111113</v>
      </c>
      <c r="F126" s="3">
        <f>Table3[[#This Row],[Total Hours Nurse Staffing]]/Table3[[#This Row],[MDS Census]]</f>
        <v>5.3943792710706155</v>
      </c>
      <c r="G126" s="3">
        <f>Table3[[#This Row],[Total Direct Care Staff Hours]]/Table3[[#This Row],[MDS Census]]</f>
        <v>4.8574316628701588</v>
      </c>
      <c r="H126" s="3">
        <f>Table3[[#This Row],[Total RN Hours (w/ Admin, DON)]]/Table3[[#This Row],[MDS Census]]</f>
        <v>1.2355751708428246</v>
      </c>
      <c r="I126" s="3">
        <f>Table3[[#This Row],[RN Hours (excl. Admin, DON)]]/Table3[[#This Row],[MDS Census]]</f>
        <v>0.94400341685649203</v>
      </c>
      <c r="J126" s="3">
        <f t="shared" si="2"/>
        <v>105.25033333333334</v>
      </c>
      <c r="K126" s="3">
        <f>SUM(Table3[[#This Row],[RN Hours (excl. Admin, DON)]], Table3[[#This Row],[LPN Hours (excl. Admin)]], Table3[[#This Row],[CNA Hours]], Table3[[#This Row],[NA TR Hours]], Table3[[#This Row],[Med Aide/Tech Hours]])</f>
        <v>94.773888888888891</v>
      </c>
      <c r="L126" s="3">
        <f>SUM(Table3[[#This Row],[RN Hours (excl. Admin, DON)]:[RN DON Hours]])</f>
        <v>24.107444444444447</v>
      </c>
      <c r="M126" s="3">
        <v>18.418555555555557</v>
      </c>
      <c r="N126" s="3">
        <v>0</v>
      </c>
      <c r="O126" s="3">
        <v>5.6888888888888891</v>
      </c>
      <c r="P126" s="3">
        <f>SUM(Table3[[#This Row],[LPN Hours (excl. Admin)]:[LPN Admin Hours]])</f>
        <v>14.085888888888888</v>
      </c>
      <c r="Q126" s="3">
        <v>9.2983333333333338</v>
      </c>
      <c r="R126" s="3">
        <v>4.7875555555555547</v>
      </c>
      <c r="S126" s="3">
        <f>SUM(Table3[[#This Row],[CNA Hours]], Table3[[#This Row],[NA TR Hours]], Table3[[#This Row],[Med Aide/Tech Hours]])</f>
        <v>67.057000000000002</v>
      </c>
      <c r="T126" s="3">
        <v>67.057000000000002</v>
      </c>
      <c r="U126" s="3">
        <v>0</v>
      </c>
      <c r="V126" s="3">
        <v>0</v>
      </c>
      <c r="W126" s="3">
        <f>SUM(Table3[[#This Row],[RN Hours Contract]:[Med Aide Hours Contract]])</f>
        <v>0.62222222222222223</v>
      </c>
      <c r="X126" s="3">
        <v>0</v>
      </c>
      <c r="Y126" s="3">
        <v>0</v>
      </c>
      <c r="Z126" s="3">
        <v>0</v>
      </c>
      <c r="AA126" s="3">
        <v>0.62222222222222223</v>
      </c>
      <c r="AB126" s="3">
        <v>0</v>
      </c>
      <c r="AC126" s="3">
        <v>0</v>
      </c>
      <c r="AD126" s="3">
        <v>0</v>
      </c>
      <c r="AE126" s="3">
        <v>0</v>
      </c>
      <c r="AF126" t="s">
        <v>124</v>
      </c>
      <c r="AG126" s="13">
        <v>10</v>
      </c>
      <c r="AQ126"/>
    </row>
    <row r="127" spans="1:43" x14ac:dyDescent="0.2">
      <c r="A127" t="s">
        <v>128</v>
      </c>
      <c r="B127" t="s">
        <v>254</v>
      </c>
      <c r="C127" t="s">
        <v>263</v>
      </c>
      <c r="D127" t="s">
        <v>334</v>
      </c>
      <c r="E127" s="3">
        <v>39.81111111111111</v>
      </c>
      <c r="F127" s="3">
        <f>Table3[[#This Row],[Total Hours Nurse Staffing]]/Table3[[#This Row],[MDS Census]]</f>
        <v>2.8817610940552605</v>
      </c>
      <c r="G127" s="3">
        <f>Table3[[#This Row],[Total Direct Care Staff Hours]]/Table3[[#This Row],[MDS Census]]</f>
        <v>2.4383058889198996</v>
      </c>
      <c r="H127" s="3">
        <f>Table3[[#This Row],[Total RN Hours (w/ Admin, DON)]]/Table3[[#This Row],[MDS Census]]</f>
        <v>0.97289980463298875</v>
      </c>
      <c r="I127" s="3">
        <f>Table3[[#This Row],[RN Hours (excl. Admin, DON)]]/Table3[[#This Row],[MDS Census]]</f>
        <v>0.52944459949762779</v>
      </c>
      <c r="J127" s="3">
        <f t="shared" si="2"/>
        <v>114.72611111111109</v>
      </c>
      <c r="K127" s="3">
        <f>SUM(Table3[[#This Row],[RN Hours (excl. Admin, DON)]], Table3[[#This Row],[LPN Hours (excl. Admin)]], Table3[[#This Row],[CNA Hours]], Table3[[#This Row],[NA TR Hours]], Table3[[#This Row],[Med Aide/Tech Hours]])</f>
        <v>97.071666666666673</v>
      </c>
      <c r="L127" s="3">
        <f>SUM(Table3[[#This Row],[RN Hours (excl. Admin, DON)]:[RN DON Hours]])</f>
        <v>38.732222222222205</v>
      </c>
      <c r="M127" s="3">
        <v>21.077777777777779</v>
      </c>
      <c r="N127" s="3">
        <v>17.65444444444443</v>
      </c>
      <c r="O127" s="3">
        <v>0</v>
      </c>
      <c r="P127" s="3">
        <f>SUM(Table3[[#This Row],[LPN Hours (excl. Admin)]:[LPN Admin Hours]])</f>
        <v>0</v>
      </c>
      <c r="Q127" s="3">
        <v>0</v>
      </c>
      <c r="R127" s="3">
        <v>0</v>
      </c>
      <c r="S127" s="3">
        <f>SUM(Table3[[#This Row],[CNA Hours]], Table3[[#This Row],[NA TR Hours]], Table3[[#This Row],[Med Aide/Tech Hours]])</f>
        <v>75.99388888888889</v>
      </c>
      <c r="T127" s="3">
        <v>65.157222222222217</v>
      </c>
      <c r="U127" s="3">
        <v>8.666666666666667E-2</v>
      </c>
      <c r="V127" s="3">
        <v>10.75</v>
      </c>
      <c r="W127" s="3">
        <f>SUM(Table3[[#This Row],[RN Hours Contract]:[Med Aide Hours Contract]])</f>
        <v>12.096666666666664</v>
      </c>
      <c r="X127" s="3">
        <v>0</v>
      </c>
      <c r="Y127" s="3">
        <v>0</v>
      </c>
      <c r="Z127" s="3">
        <v>0</v>
      </c>
      <c r="AA127" s="3">
        <v>0</v>
      </c>
      <c r="AB127" s="3">
        <v>0</v>
      </c>
      <c r="AC127" s="3">
        <v>5.9655555555555537</v>
      </c>
      <c r="AD127" s="3">
        <v>8.666666666666667E-2</v>
      </c>
      <c r="AE127" s="3">
        <v>6.0444444444444443</v>
      </c>
      <c r="AF127" t="s">
        <v>125</v>
      </c>
      <c r="AG127" s="13">
        <v>10</v>
      </c>
      <c r="AQ127"/>
    </row>
    <row r="128" spans="1:43" x14ac:dyDescent="0.2">
      <c r="A128" t="s">
        <v>128</v>
      </c>
      <c r="B128" t="s">
        <v>255</v>
      </c>
      <c r="C128" t="s">
        <v>318</v>
      </c>
      <c r="D128" t="s">
        <v>334</v>
      </c>
      <c r="E128" s="3">
        <v>58.31111111111111</v>
      </c>
      <c r="F128" s="3">
        <f>Table3[[#This Row],[Total Hours Nurse Staffing]]/Table3[[#This Row],[MDS Census]]</f>
        <v>4.2570464939024388</v>
      </c>
      <c r="G128" s="3">
        <f>Table3[[#This Row],[Total Direct Care Staff Hours]]/Table3[[#This Row],[MDS Census]]</f>
        <v>4.0222313262195124</v>
      </c>
      <c r="H128" s="3">
        <f>Table3[[#This Row],[Total RN Hours (w/ Admin, DON)]]/Table3[[#This Row],[MDS Census]]</f>
        <v>0.49774390243902433</v>
      </c>
      <c r="I128" s="3">
        <f>Table3[[#This Row],[RN Hours (excl. Admin, DON)]]/Table3[[#This Row],[MDS Census]]</f>
        <v>0.26292873475609752</v>
      </c>
      <c r="J128" s="3">
        <f t="shared" si="2"/>
        <v>248.2331111111111</v>
      </c>
      <c r="K128" s="3">
        <f>SUM(Table3[[#This Row],[RN Hours (excl. Admin, DON)]], Table3[[#This Row],[LPN Hours (excl. Admin)]], Table3[[#This Row],[CNA Hours]], Table3[[#This Row],[NA TR Hours]], Table3[[#This Row],[Med Aide/Tech Hours]])</f>
        <v>234.54077777777778</v>
      </c>
      <c r="L128" s="3">
        <f>SUM(Table3[[#This Row],[RN Hours (excl. Admin, DON)]:[RN DON Hours]])</f>
        <v>29.023999999999997</v>
      </c>
      <c r="M128" s="3">
        <v>15.331666666666665</v>
      </c>
      <c r="N128" s="3">
        <v>8.4478888888888903</v>
      </c>
      <c r="O128" s="3">
        <v>5.2444444444444445</v>
      </c>
      <c r="P128" s="3">
        <f>SUM(Table3[[#This Row],[LPN Hours (excl. Admin)]:[LPN Admin Hours]])</f>
        <v>42.376555555555555</v>
      </c>
      <c r="Q128" s="3">
        <v>42.376555555555555</v>
      </c>
      <c r="R128" s="3">
        <v>0</v>
      </c>
      <c r="S128" s="3">
        <f>SUM(Table3[[#This Row],[CNA Hours]], Table3[[#This Row],[NA TR Hours]], Table3[[#This Row],[Med Aide/Tech Hours]])</f>
        <v>176.83255555555556</v>
      </c>
      <c r="T128" s="3">
        <v>166.05522222222223</v>
      </c>
      <c r="U128" s="3">
        <v>0</v>
      </c>
      <c r="V128" s="3">
        <v>10.777333333333338</v>
      </c>
      <c r="W128" s="3">
        <f>SUM(Table3[[#This Row],[RN Hours Contract]:[Med Aide Hours Contract]])</f>
        <v>0.40833333333333333</v>
      </c>
      <c r="X128" s="3">
        <v>0.14444444444444443</v>
      </c>
      <c r="Y128" s="3">
        <v>0</v>
      </c>
      <c r="Z128" s="3">
        <v>0</v>
      </c>
      <c r="AA128" s="3">
        <v>0</v>
      </c>
      <c r="AB128" s="3">
        <v>0</v>
      </c>
      <c r="AC128" s="3">
        <v>0.2638888888888889</v>
      </c>
      <c r="AD128" s="3">
        <v>0</v>
      </c>
      <c r="AE128" s="3">
        <v>0</v>
      </c>
      <c r="AF128" t="s">
        <v>126</v>
      </c>
      <c r="AG128" s="13">
        <v>10</v>
      </c>
      <c r="AQ128"/>
    </row>
    <row r="129" spans="1:43" x14ac:dyDescent="0.2">
      <c r="A129" t="s">
        <v>128</v>
      </c>
      <c r="B129" t="s">
        <v>256</v>
      </c>
      <c r="C129" t="s">
        <v>263</v>
      </c>
      <c r="D129" t="s">
        <v>334</v>
      </c>
      <c r="E129" s="3">
        <v>59.744444444444447</v>
      </c>
      <c r="F129" s="3">
        <f>Table3[[#This Row],[Total Hours Nurse Staffing]]/Table3[[#This Row],[MDS Census]]</f>
        <v>4.7056778872977487</v>
      </c>
      <c r="G129" s="3">
        <f>Table3[[#This Row],[Total Direct Care Staff Hours]]/Table3[[#This Row],[MDS Census]]</f>
        <v>4.3171526873721406</v>
      </c>
      <c r="H129" s="3">
        <f>Table3[[#This Row],[Total RN Hours (w/ Admin, DON)]]/Table3[[#This Row],[MDS Census]]</f>
        <v>0.37786870001859768</v>
      </c>
      <c r="I129" s="3">
        <f>Table3[[#This Row],[RN Hours (excl. Admin, DON)]]/Table3[[#This Row],[MDS Census]]</f>
        <v>0.1849079412311698</v>
      </c>
      <c r="J129" s="3">
        <f t="shared" si="2"/>
        <v>281.13811111111107</v>
      </c>
      <c r="K129" s="3">
        <f>SUM(Table3[[#This Row],[RN Hours (excl. Admin, DON)]], Table3[[#This Row],[LPN Hours (excl. Admin)]], Table3[[#This Row],[CNA Hours]], Table3[[#This Row],[NA TR Hours]], Table3[[#This Row],[Med Aide/Tech Hours]])</f>
        <v>257.92588888888889</v>
      </c>
      <c r="L129" s="3">
        <f>SUM(Table3[[#This Row],[RN Hours (excl. Admin, DON)]:[RN DON Hours]])</f>
        <v>22.575555555555553</v>
      </c>
      <c r="M129" s="3">
        <v>11.047222222222222</v>
      </c>
      <c r="N129" s="3">
        <v>11.528333333333332</v>
      </c>
      <c r="O129" s="3">
        <v>0</v>
      </c>
      <c r="P129" s="3">
        <f>SUM(Table3[[#This Row],[LPN Hours (excl. Admin)]:[LPN Admin Hours]])</f>
        <v>40.243333333333332</v>
      </c>
      <c r="Q129" s="3">
        <v>28.559444444444445</v>
      </c>
      <c r="R129" s="3">
        <v>11.683888888888889</v>
      </c>
      <c r="S129" s="3">
        <f>SUM(Table3[[#This Row],[CNA Hours]], Table3[[#This Row],[NA TR Hours]], Table3[[#This Row],[Med Aide/Tech Hours]])</f>
        <v>218.31922222222221</v>
      </c>
      <c r="T129" s="3">
        <v>194.68255555555555</v>
      </c>
      <c r="U129" s="3">
        <v>13.261666666666667</v>
      </c>
      <c r="V129" s="3">
        <v>10.375</v>
      </c>
      <c r="W129" s="3">
        <f>SUM(Table3[[#This Row],[RN Hours Contract]:[Med Aide Hours Contract]])</f>
        <v>0</v>
      </c>
      <c r="X129" s="3">
        <v>0</v>
      </c>
      <c r="Y129" s="3">
        <v>0</v>
      </c>
      <c r="Z129" s="3">
        <v>0</v>
      </c>
      <c r="AA129" s="3">
        <v>0</v>
      </c>
      <c r="AB129" s="3">
        <v>0</v>
      </c>
      <c r="AC129" s="3">
        <v>0</v>
      </c>
      <c r="AD129" s="3">
        <v>0</v>
      </c>
      <c r="AE129" s="3">
        <v>0</v>
      </c>
      <c r="AF129" t="s">
        <v>127</v>
      </c>
      <c r="AG129" s="13">
        <v>10</v>
      </c>
      <c r="AQ129"/>
    </row>
    <row r="131" spans="1:43" s="1" customFormat="1" x14ac:dyDescent="0.2"/>
  </sheetData>
  <dataConsolidate>
    <dataRefs count="1">
      <dataRef ref="H1:J1048576" sheet="Nurse"/>
    </dataRefs>
  </dataConsolidate>
  <phoneticPr fontId="6" type="noConversion"/>
  <pageMargins left="0.7" right="0.7" top="0.75" bottom="0.75" header="0.3" footer="0.3"/>
  <pageSetup orientation="portrait" horizontalDpi="1200" verticalDpi="1200" r:id="rId1"/>
  <ignoredErrors>
    <ignoredError sqref="AF2:AF129"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3B643-60F5-4B07-B156-A949D42D0480}">
  <sheetPr>
    <outlinePr summaryRight="0"/>
  </sheetPr>
  <dimension ref="A1:AQ129"/>
  <sheetViews>
    <sheetView zoomScale="80" zoomScaleNormal="80" workbookViewId="0">
      <pane xSplit="4" ySplit="1" topLeftCell="E2" activePane="bottomRight" state="frozen"/>
      <selection pane="topRight" activeCell="E1" sqref="E1"/>
      <selection pane="bottomLeft" activeCell="A2" sqref="A2"/>
      <selection pane="bottomRight"/>
    </sheetView>
  </sheetViews>
  <sheetFormatPr baseColWidth="10" defaultColWidth="12.6640625" defaultRowHeight="15" outlineLevelCol="1" x14ac:dyDescent="0.2"/>
  <cols>
    <col min="1" max="1" width="7.6640625" style="1" customWidth="1"/>
    <col min="2" max="2" width="30.6640625" style="1" customWidth="1"/>
    <col min="3" max="4" width="16.6640625" style="1" customWidth="1"/>
    <col min="5" max="7" width="12.6640625" style="1"/>
    <col min="8" max="8" width="12.6640625" style="4"/>
    <col min="9" max="10" width="12.6640625" style="1"/>
    <col min="11" max="11" width="12.6640625" style="4" collapsed="1"/>
    <col min="12" max="12" width="12.6640625" style="1" hidden="1" customWidth="1" outlineLevel="1"/>
    <col min="13" max="13" width="12.6640625" hidden="1" customWidth="1" outlineLevel="1"/>
    <col min="14" max="14" width="12.6640625" style="4" hidden="1" customWidth="1" outlineLevel="1"/>
    <col min="15" max="16" width="12.6640625" style="1" hidden="1" customWidth="1" outlineLevel="1"/>
    <col min="17" max="17" width="12.6640625" style="4" hidden="1" customWidth="1" outlineLevel="1"/>
    <col min="18" max="18" width="12.6640625" style="1" hidden="1" customWidth="1" outlineLevel="1"/>
    <col min="19" max="19" width="12.6640625" hidden="1" customWidth="1" outlineLevel="1"/>
    <col min="20" max="20" width="12.6640625" style="1" hidden="1" customWidth="1" outlineLevel="1"/>
    <col min="21" max="21" width="12.6640625" hidden="1" customWidth="1" outlineLevel="1"/>
    <col min="22" max="22" width="12.6640625" style="1" hidden="1" customWidth="1" outlineLevel="1"/>
    <col min="23" max="23" width="12.6640625" style="4" hidden="1" customWidth="1" outlineLevel="1"/>
    <col min="24" max="25" width="12.6640625" style="1" hidden="1" customWidth="1" outlineLevel="1"/>
    <col min="26" max="26" width="12.6640625" style="4" hidden="1" customWidth="1" outlineLevel="1"/>
    <col min="27" max="27" width="12.6640625" style="1" hidden="1" customWidth="1" outlineLevel="1"/>
    <col min="28" max="28" width="12.6640625" hidden="1" customWidth="1" outlineLevel="1"/>
    <col min="29" max="29" width="12.6640625" style="4" hidden="1" customWidth="1" outlineLevel="1"/>
    <col min="30" max="31" width="12.6640625" style="1" hidden="1" customWidth="1" outlineLevel="1"/>
    <col min="32" max="32" width="12.6640625" style="4" hidden="1" customWidth="1" outlineLevel="1"/>
    <col min="33" max="33" width="12.6640625" style="1" hidden="1" customWidth="1" outlineLevel="1"/>
    <col min="34" max="34" width="12.6640625" hidden="1" customWidth="1" outlineLevel="1"/>
    <col min="35" max="35" width="12.6640625" style="4" hidden="1" customWidth="1" outlineLevel="1"/>
    <col min="36" max="36" width="12.6640625" style="1" hidden="1" customWidth="1" outlineLevel="1"/>
    <col min="37" max="37" width="12.6640625" hidden="1" customWidth="1" outlineLevel="1"/>
    <col min="38" max="38" width="12.6640625" style="4" hidden="1" customWidth="1" outlineLevel="1"/>
    <col min="39" max="39" width="12.6640625" style="1" hidden="1" customWidth="1" outlineLevel="1"/>
    <col min="40" max="40" width="12.6640625" hidden="1" customWidth="1" outlineLevel="1"/>
    <col min="41" max="41" width="12.6640625" style="4" hidden="1" customWidth="1" outlineLevel="1"/>
    <col min="43" max="16384" width="12.6640625" style="1"/>
  </cols>
  <sheetData>
    <row r="1" spans="1:43" s="5" customFormat="1" ht="150" customHeight="1" x14ac:dyDescent="0.2">
      <c r="A1" s="5" t="s">
        <v>348</v>
      </c>
      <c r="B1" s="5" t="s">
        <v>350</v>
      </c>
      <c r="C1" s="5" t="s">
        <v>366</v>
      </c>
      <c r="D1" s="5" t="s">
        <v>351</v>
      </c>
      <c r="E1" s="5" t="s">
        <v>352</v>
      </c>
      <c r="F1" s="5" t="s">
        <v>367</v>
      </c>
      <c r="G1" s="5" t="s">
        <v>374</v>
      </c>
      <c r="H1" s="6" t="s">
        <v>376</v>
      </c>
      <c r="I1" s="5" t="s">
        <v>368</v>
      </c>
      <c r="J1" s="5" t="s">
        <v>387</v>
      </c>
      <c r="K1" s="6" t="s">
        <v>388</v>
      </c>
      <c r="L1" s="5" t="s">
        <v>353</v>
      </c>
      <c r="M1" s="5" t="s">
        <v>358</v>
      </c>
      <c r="N1" s="6" t="s">
        <v>362</v>
      </c>
      <c r="O1" s="5" t="s">
        <v>356</v>
      </c>
      <c r="P1" s="5" t="s">
        <v>391</v>
      </c>
      <c r="Q1" s="6" t="s">
        <v>386</v>
      </c>
      <c r="R1" s="5" t="s">
        <v>357</v>
      </c>
      <c r="S1" s="5" t="s">
        <v>389</v>
      </c>
      <c r="T1" s="5" t="s">
        <v>385</v>
      </c>
      <c r="U1" s="5" t="s">
        <v>369</v>
      </c>
      <c r="V1" s="5" t="s">
        <v>381</v>
      </c>
      <c r="W1" s="6" t="s">
        <v>384</v>
      </c>
      <c r="X1" s="5" t="s">
        <v>354</v>
      </c>
      <c r="Y1" s="5" t="s">
        <v>359</v>
      </c>
      <c r="Z1" s="6" t="s">
        <v>380</v>
      </c>
      <c r="AA1" s="5" t="s">
        <v>370</v>
      </c>
      <c r="AB1" s="5" t="s">
        <v>390</v>
      </c>
      <c r="AC1" s="6" t="s">
        <v>379</v>
      </c>
      <c r="AD1" s="5" t="s">
        <v>372</v>
      </c>
      <c r="AE1" s="5" t="s">
        <v>383</v>
      </c>
      <c r="AF1" s="6" t="s">
        <v>382</v>
      </c>
      <c r="AG1" s="5" t="s">
        <v>355</v>
      </c>
      <c r="AH1" s="5" t="s">
        <v>360</v>
      </c>
      <c r="AI1" s="6" t="s">
        <v>361</v>
      </c>
      <c r="AJ1" s="5" t="s">
        <v>373</v>
      </c>
      <c r="AK1" s="5" t="s">
        <v>424</v>
      </c>
      <c r="AL1" s="6" t="s">
        <v>378</v>
      </c>
      <c r="AM1" s="5" t="s">
        <v>371</v>
      </c>
      <c r="AN1" s="5" t="s">
        <v>425</v>
      </c>
      <c r="AO1" s="6" t="s">
        <v>377</v>
      </c>
      <c r="AP1" s="5" t="s">
        <v>349</v>
      </c>
      <c r="AQ1" s="5" t="s">
        <v>393</v>
      </c>
    </row>
    <row r="2" spans="1:43" x14ac:dyDescent="0.2">
      <c r="A2" s="1" t="s">
        <v>128</v>
      </c>
      <c r="B2" s="1" t="s">
        <v>129</v>
      </c>
      <c r="C2" s="1" t="s">
        <v>263</v>
      </c>
      <c r="D2" s="1" t="s">
        <v>334</v>
      </c>
      <c r="E2" s="3">
        <v>105.36666666666666</v>
      </c>
      <c r="F2" s="3">
        <f t="shared" ref="F2:F65" si="0">SUM(I2,U2,AD2)</f>
        <v>518.08055555555552</v>
      </c>
      <c r="G2" s="3">
        <f>SUM(Table39[[#This Row],[RN Hours Contract (W/ Admin, DON)]], Table39[[#This Row],[LPN Contract Hours (w/ Admin)]], Table39[[#This Row],[CNA/NA/Med Aide Contract Hours]])</f>
        <v>13.102777777777778</v>
      </c>
      <c r="H2" s="4">
        <f>Table39[[#This Row],[Total Contract Hours]]/Table39[[#This Row],[Total Hours Nurse Staffing]]</f>
        <v>2.5291004723632642E-2</v>
      </c>
      <c r="I2" s="3">
        <f>SUM(Table39[[#This Row],[RN Hours]], Table39[[#This Row],[RN Admin Hours]], Table39[[#This Row],[RN DON Hours]])</f>
        <v>94.672222222222217</v>
      </c>
      <c r="J2" s="3">
        <f t="shared" ref="J2:J40" si="1">SUM(M2,P2,S2)</f>
        <v>1.6861111111111111</v>
      </c>
      <c r="K2" s="4">
        <f>Table39[[#This Row],[RN Hours Contract (W/ Admin, DON)]]/Table39[[#This Row],[RN Hours (w/ Admin, DON)]]</f>
        <v>1.7809987676779531E-2</v>
      </c>
      <c r="L2" s="3">
        <v>75.222222222222229</v>
      </c>
      <c r="M2" s="3">
        <v>1.6861111111111111</v>
      </c>
      <c r="N2" s="4">
        <f>Table39[[#This Row],[RN Hours Contract]]/Table39[[#This Row],[RN Hours]]</f>
        <v>2.2415066469719348E-2</v>
      </c>
      <c r="O2" s="3">
        <v>14.383333333333333</v>
      </c>
      <c r="P2" s="3">
        <v>0</v>
      </c>
      <c r="Q2" s="4">
        <f>Table39[[#This Row],[RN Admin Hours Contract]]/Table39[[#This Row],[RN Admin Hours]]</f>
        <v>0</v>
      </c>
      <c r="R2" s="3">
        <v>5.0666666666666664</v>
      </c>
      <c r="S2" s="3">
        <v>0</v>
      </c>
      <c r="T2" s="4">
        <f>Table39[[#This Row],[RN DON Hours Contract]]/Table39[[#This Row],[RN DON Hours]]</f>
        <v>0</v>
      </c>
      <c r="U2" s="3">
        <f>SUM(Table39[[#This Row],[LPN Hours]], Table39[[#This Row],[LPN Admin Hours]])</f>
        <v>119.25833333333334</v>
      </c>
      <c r="V2" s="3">
        <f>Table39[[#This Row],[LPN Hours Contract]]+Table39[[#This Row],[LPN Admin Hours Contract]]</f>
        <v>0</v>
      </c>
      <c r="W2" s="4">
        <f t="shared" ref="W2:W40" si="2">V2/U2</f>
        <v>0</v>
      </c>
      <c r="X2" s="3">
        <v>119.25833333333334</v>
      </c>
      <c r="Y2" s="3">
        <v>0</v>
      </c>
      <c r="Z2" s="4">
        <f>Table39[[#This Row],[LPN Hours Contract]]/Table39[[#This Row],[LPN Hours]]</f>
        <v>0</v>
      </c>
      <c r="AA2" s="3">
        <v>0</v>
      </c>
      <c r="AB2" s="3">
        <v>0</v>
      </c>
      <c r="AC2" s="4">
        <v>0</v>
      </c>
      <c r="AD2" s="3">
        <f>SUM(Table39[[#This Row],[CNA Hours]], Table39[[#This Row],[NA in Training Hours]], Table39[[#This Row],[Med Aide/Tech Hours]])</f>
        <v>304.14999999999998</v>
      </c>
      <c r="AE2" s="3">
        <f>SUM(Table39[[#This Row],[CNA Hours Contract]], Table39[[#This Row],[NA in Training Hours Contract]], Table39[[#This Row],[Med Aide/Tech Hours Contract]])</f>
        <v>11.416666666666666</v>
      </c>
      <c r="AF2" s="4">
        <f>Table39[[#This Row],[CNA/NA/Med Aide Contract Hours]]/Table39[[#This Row],[Total CNA, NA in Training, Med Aide/Tech Hours]]</f>
        <v>3.7536303359088169E-2</v>
      </c>
      <c r="AG2" s="3">
        <v>259.51944444444445</v>
      </c>
      <c r="AH2" s="3">
        <v>11.416666666666666</v>
      </c>
      <c r="AI2" s="4">
        <f>Table39[[#This Row],[CNA Hours Contract]]/Table39[[#This Row],[CNA Hours]]</f>
        <v>4.39915656073726E-2</v>
      </c>
      <c r="AJ2" s="3">
        <v>0</v>
      </c>
      <c r="AK2" s="3">
        <v>0</v>
      </c>
      <c r="AL2" s="4">
        <v>0</v>
      </c>
      <c r="AM2" s="3">
        <v>44.630555555555553</v>
      </c>
      <c r="AN2" s="3">
        <v>0</v>
      </c>
      <c r="AO2" s="4">
        <f>Table39[[#This Row],[Med Aide/Tech Hours Contract]]/Table39[[#This Row],[Med Aide/Tech Hours]]</f>
        <v>0</v>
      </c>
      <c r="AP2" s="1" t="s">
        <v>0</v>
      </c>
      <c r="AQ2" s="1">
        <v>10</v>
      </c>
    </row>
    <row r="3" spans="1:43" x14ac:dyDescent="0.2">
      <c r="A3" s="1" t="s">
        <v>128</v>
      </c>
      <c r="B3" s="1" t="s">
        <v>130</v>
      </c>
      <c r="C3" s="1" t="s">
        <v>279</v>
      </c>
      <c r="D3" s="1" t="s">
        <v>334</v>
      </c>
      <c r="E3" s="3">
        <v>80.011111111111106</v>
      </c>
      <c r="F3" s="3">
        <f t="shared" si="0"/>
        <v>364.05500000000001</v>
      </c>
      <c r="G3" s="3">
        <f>SUM(Table39[[#This Row],[RN Hours Contract (W/ Admin, DON)]], Table39[[#This Row],[LPN Contract Hours (w/ Admin)]], Table39[[#This Row],[CNA/NA/Med Aide Contract Hours]])</f>
        <v>9.274111111111111</v>
      </c>
      <c r="H3" s="4">
        <f>Table39[[#This Row],[Total Contract Hours]]/Table39[[#This Row],[Total Hours Nurse Staffing]]</f>
        <v>2.5474478062685886E-2</v>
      </c>
      <c r="I3" s="3">
        <f>SUM(Table39[[#This Row],[RN Hours]], Table39[[#This Row],[RN Admin Hours]], Table39[[#This Row],[RN DON Hours]])</f>
        <v>34.334888888888891</v>
      </c>
      <c r="J3" s="3">
        <f t="shared" si="1"/>
        <v>0</v>
      </c>
      <c r="K3" s="4">
        <f>Table39[[#This Row],[RN Hours Contract (W/ Admin, DON)]]/Table39[[#This Row],[RN Hours (w/ Admin, DON)]]</f>
        <v>0</v>
      </c>
      <c r="L3" s="3">
        <v>18.585666666666668</v>
      </c>
      <c r="M3" s="3">
        <v>0</v>
      </c>
      <c r="N3" s="4">
        <f>Table39[[#This Row],[RN Hours Contract]]/Table39[[#This Row],[RN Hours]]</f>
        <v>0</v>
      </c>
      <c r="O3" s="3">
        <v>10.236888888888886</v>
      </c>
      <c r="P3" s="3">
        <v>0</v>
      </c>
      <c r="Q3" s="4">
        <f>Table39[[#This Row],[RN Admin Hours Contract]]/Table39[[#This Row],[RN Admin Hours]]</f>
        <v>0</v>
      </c>
      <c r="R3" s="3">
        <v>5.512333333333336</v>
      </c>
      <c r="S3" s="3">
        <v>0</v>
      </c>
      <c r="T3" s="4">
        <f>Table39[[#This Row],[RN DON Hours Contract]]/Table39[[#This Row],[RN DON Hours]]</f>
        <v>0</v>
      </c>
      <c r="U3" s="3">
        <f>SUM(Table39[[#This Row],[LPN Hours]], Table39[[#This Row],[LPN Admin Hours]])</f>
        <v>61.174666666666667</v>
      </c>
      <c r="V3" s="3">
        <f>Table39[[#This Row],[LPN Hours Contract]]+Table39[[#This Row],[LPN Admin Hours Contract]]</f>
        <v>1.1405555555555555</v>
      </c>
      <c r="W3" s="4">
        <f t="shared" si="2"/>
        <v>1.8644246347435032E-2</v>
      </c>
      <c r="X3" s="3">
        <v>61.174666666666667</v>
      </c>
      <c r="Y3" s="3">
        <v>1.1405555555555555</v>
      </c>
      <c r="Z3" s="4">
        <f>Table39[[#This Row],[LPN Hours Contract]]/Table39[[#This Row],[LPN Hours]]</f>
        <v>1.8644246347435032E-2</v>
      </c>
      <c r="AA3" s="3">
        <v>0</v>
      </c>
      <c r="AB3" s="3">
        <v>0</v>
      </c>
      <c r="AC3" s="4">
        <v>0</v>
      </c>
      <c r="AD3" s="3">
        <f>SUM(Table39[[#This Row],[CNA Hours]], Table39[[#This Row],[NA in Training Hours]], Table39[[#This Row],[Med Aide/Tech Hours]])</f>
        <v>268.54544444444446</v>
      </c>
      <c r="AE3" s="3">
        <f>SUM(Table39[[#This Row],[CNA Hours Contract]], Table39[[#This Row],[NA in Training Hours Contract]], Table39[[#This Row],[Med Aide/Tech Hours Contract]])</f>
        <v>8.1335555555555548</v>
      </c>
      <c r="AF3" s="4">
        <f>Table39[[#This Row],[CNA/NA/Med Aide Contract Hours]]/Table39[[#This Row],[Total CNA, NA in Training, Med Aide/Tech Hours]]</f>
        <v>3.0287445658897374E-2</v>
      </c>
      <c r="AG3" s="3">
        <v>220.27233333333331</v>
      </c>
      <c r="AH3" s="3">
        <v>8.1335555555555548</v>
      </c>
      <c r="AI3" s="4">
        <f>Table39[[#This Row],[CNA Hours Contract]]/Table39[[#This Row],[CNA Hours]]</f>
        <v>3.6924998398447179E-2</v>
      </c>
      <c r="AJ3" s="3">
        <v>0</v>
      </c>
      <c r="AK3" s="3">
        <v>0</v>
      </c>
      <c r="AL3" s="4">
        <v>0</v>
      </c>
      <c r="AM3" s="3">
        <v>48.27311111111112</v>
      </c>
      <c r="AN3" s="3">
        <v>0</v>
      </c>
      <c r="AO3" s="4">
        <f>Table39[[#This Row],[Med Aide/Tech Hours Contract]]/Table39[[#This Row],[Med Aide/Tech Hours]]</f>
        <v>0</v>
      </c>
      <c r="AP3" s="1" t="s">
        <v>1</v>
      </c>
      <c r="AQ3" s="1">
        <v>10</v>
      </c>
    </row>
    <row r="4" spans="1:43" x14ac:dyDescent="0.2">
      <c r="A4" s="1" t="s">
        <v>128</v>
      </c>
      <c r="B4" s="1" t="s">
        <v>131</v>
      </c>
      <c r="C4" s="1" t="s">
        <v>280</v>
      </c>
      <c r="D4" s="1" t="s">
        <v>322</v>
      </c>
      <c r="E4" s="3">
        <v>65.5</v>
      </c>
      <c r="F4" s="3">
        <f t="shared" si="0"/>
        <v>448.97577777777775</v>
      </c>
      <c r="G4" s="3">
        <f>SUM(Table39[[#This Row],[RN Hours Contract (W/ Admin, DON)]], Table39[[#This Row],[LPN Contract Hours (w/ Admin)]], Table39[[#This Row],[CNA/NA/Med Aide Contract Hours]])</f>
        <v>0</v>
      </c>
      <c r="H4" s="4">
        <f>Table39[[#This Row],[Total Contract Hours]]/Table39[[#This Row],[Total Hours Nurse Staffing]]</f>
        <v>0</v>
      </c>
      <c r="I4" s="3">
        <f>SUM(Table39[[#This Row],[RN Hours]], Table39[[#This Row],[RN Admin Hours]], Table39[[#This Row],[RN DON Hours]])</f>
        <v>121.36644444444443</v>
      </c>
      <c r="J4" s="3">
        <f t="shared" si="1"/>
        <v>0</v>
      </c>
      <c r="K4" s="4">
        <f>Table39[[#This Row],[RN Hours Contract (W/ Admin, DON)]]/Table39[[#This Row],[RN Hours (w/ Admin, DON)]]</f>
        <v>0</v>
      </c>
      <c r="L4" s="3">
        <v>108.32199999999999</v>
      </c>
      <c r="M4" s="3">
        <v>0</v>
      </c>
      <c r="N4" s="4">
        <f>Table39[[#This Row],[RN Hours Contract]]/Table39[[#This Row],[RN Hours]]</f>
        <v>0</v>
      </c>
      <c r="O4" s="3">
        <v>13.044444444444444</v>
      </c>
      <c r="P4" s="3">
        <v>0</v>
      </c>
      <c r="Q4" s="4">
        <f>Table39[[#This Row],[RN Admin Hours Contract]]/Table39[[#This Row],[RN Admin Hours]]</f>
        <v>0</v>
      </c>
      <c r="R4" s="3">
        <v>0</v>
      </c>
      <c r="S4" s="3">
        <v>0</v>
      </c>
      <c r="T4" s="4">
        <v>0</v>
      </c>
      <c r="U4" s="3">
        <f>SUM(Table39[[#This Row],[LPN Hours]], Table39[[#This Row],[LPN Admin Hours]])</f>
        <v>25.538111111111114</v>
      </c>
      <c r="V4" s="3">
        <f>Table39[[#This Row],[LPN Hours Contract]]+Table39[[#This Row],[LPN Admin Hours Contract]]</f>
        <v>0</v>
      </c>
      <c r="W4" s="4">
        <f t="shared" si="2"/>
        <v>0</v>
      </c>
      <c r="X4" s="3">
        <v>17.251666666666669</v>
      </c>
      <c r="Y4" s="3">
        <v>0</v>
      </c>
      <c r="Z4" s="4">
        <f>Table39[[#This Row],[LPN Hours Contract]]/Table39[[#This Row],[LPN Hours]]</f>
        <v>0</v>
      </c>
      <c r="AA4" s="3">
        <v>8.2864444444444434</v>
      </c>
      <c r="AB4" s="3">
        <v>0</v>
      </c>
      <c r="AC4" s="4">
        <f>Table39[[#This Row],[LPN Admin Hours Contract]]/Table39[[#This Row],[LPN Admin Hours]]</f>
        <v>0</v>
      </c>
      <c r="AD4" s="3">
        <f>SUM(Table39[[#This Row],[CNA Hours]], Table39[[#This Row],[NA in Training Hours]], Table39[[#This Row],[Med Aide/Tech Hours]])</f>
        <v>302.07122222222222</v>
      </c>
      <c r="AE4" s="3">
        <f>SUM(Table39[[#This Row],[CNA Hours Contract]], Table39[[#This Row],[NA in Training Hours Contract]], Table39[[#This Row],[Med Aide/Tech Hours Contract]])</f>
        <v>0</v>
      </c>
      <c r="AF4" s="4">
        <f>Table39[[#This Row],[CNA/NA/Med Aide Contract Hours]]/Table39[[#This Row],[Total CNA, NA in Training, Med Aide/Tech Hours]]</f>
        <v>0</v>
      </c>
      <c r="AG4" s="3">
        <v>294.911</v>
      </c>
      <c r="AH4" s="3">
        <v>0</v>
      </c>
      <c r="AI4" s="4">
        <f>Table39[[#This Row],[CNA Hours Contract]]/Table39[[#This Row],[CNA Hours]]</f>
        <v>0</v>
      </c>
      <c r="AJ4" s="3">
        <v>0</v>
      </c>
      <c r="AK4" s="3">
        <v>0</v>
      </c>
      <c r="AL4" s="4">
        <v>0</v>
      </c>
      <c r="AM4" s="3">
        <v>7.1602222222222203</v>
      </c>
      <c r="AN4" s="3">
        <v>0</v>
      </c>
      <c r="AO4" s="4">
        <f>Table39[[#This Row],[Med Aide/Tech Hours Contract]]/Table39[[#This Row],[Med Aide/Tech Hours]]</f>
        <v>0</v>
      </c>
      <c r="AP4" s="1" t="s">
        <v>2</v>
      </c>
      <c r="AQ4" s="1">
        <v>10</v>
      </c>
    </row>
    <row r="5" spans="1:43" x14ac:dyDescent="0.2">
      <c r="A5" s="1" t="s">
        <v>128</v>
      </c>
      <c r="B5" s="1" t="s">
        <v>132</v>
      </c>
      <c r="C5" s="1" t="s">
        <v>273</v>
      </c>
      <c r="D5" s="1" t="s">
        <v>319</v>
      </c>
      <c r="E5" s="3">
        <v>47.588888888888889</v>
      </c>
      <c r="F5" s="3">
        <f t="shared" si="0"/>
        <v>210.38566666666668</v>
      </c>
      <c r="G5" s="3">
        <f>SUM(Table39[[#This Row],[RN Hours Contract (W/ Admin, DON)]], Table39[[#This Row],[LPN Contract Hours (w/ Admin)]], Table39[[#This Row],[CNA/NA/Med Aide Contract Hours]])</f>
        <v>18.491222222222227</v>
      </c>
      <c r="H5" s="4">
        <f>Table39[[#This Row],[Total Contract Hours]]/Table39[[#This Row],[Total Hours Nurse Staffing]]</f>
        <v>8.7892024752425593E-2</v>
      </c>
      <c r="I5" s="3">
        <f>SUM(Table39[[#This Row],[RN Hours]], Table39[[#This Row],[RN Admin Hours]], Table39[[#This Row],[RN DON Hours]])</f>
        <v>15.496333333333332</v>
      </c>
      <c r="J5" s="3">
        <f t="shared" si="1"/>
        <v>3.0463333333333327</v>
      </c>
      <c r="K5" s="4">
        <f>Table39[[#This Row],[RN Hours Contract (W/ Admin, DON)]]/Table39[[#This Row],[RN Hours (w/ Admin, DON)]]</f>
        <v>0.19658413818322612</v>
      </c>
      <c r="L5" s="3">
        <v>4.6518888888888892</v>
      </c>
      <c r="M5" s="3">
        <v>3.0463333333333327</v>
      </c>
      <c r="N5" s="4">
        <f>Table39[[#This Row],[RN Hours Contract]]/Table39[[#This Row],[RN Hours]]</f>
        <v>0.65485943583251705</v>
      </c>
      <c r="O5" s="3">
        <v>9.0666666666666664</v>
      </c>
      <c r="P5" s="3">
        <v>0</v>
      </c>
      <c r="Q5" s="4">
        <f>Table39[[#This Row],[RN Admin Hours Contract]]/Table39[[#This Row],[RN Admin Hours]]</f>
        <v>0</v>
      </c>
      <c r="R5" s="3">
        <v>1.7777777777777777</v>
      </c>
      <c r="S5" s="3">
        <v>0</v>
      </c>
      <c r="T5" s="4">
        <f>Table39[[#This Row],[RN DON Hours Contract]]/Table39[[#This Row],[RN DON Hours]]</f>
        <v>0</v>
      </c>
      <c r="U5" s="3">
        <f>SUM(Table39[[#This Row],[LPN Hours]], Table39[[#This Row],[LPN Admin Hours]])</f>
        <v>46.161111111111111</v>
      </c>
      <c r="V5" s="3">
        <f>Table39[[#This Row],[LPN Hours Contract]]+Table39[[#This Row],[LPN Admin Hours Contract]]</f>
        <v>4.0694444444444446</v>
      </c>
      <c r="W5" s="4">
        <f t="shared" si="2"/>
        <v>8.8157419665423037E-2</v>
      </c>
      <c r="X5" s="3">
        <v>46.161111111111111</v>
      </c>
      <c r="Y5" s="3">
        <v>4.0694444444444446</v>
      </c>
      <c r="Z5" s="4">
        <f>Table39[[#This Row],[LPN Hours Contract]]/Table39[[#This Row],[LPN Hours]]</f>
        <v>8.8157419665423037E-2</v>
      </c>
      <c r="AA5" s="3">
        <v>0</v>
      </c>
      <c r="AB5" s="3">
        <v>0</v>
      </c>
      <c r="AC5" s="4">
        <v>0</v>
      </c>
      <c r="AD5" s="3">
        <f>SUM(Table39[[#This Row],[CNA Hours]], Table39[[#This Row],[NA in Training Hours]], Table39[[#This Row],[Med Aide/Tech Hours]])</f>
        <v>148.72822222222223</v>
      </c>
      <c r="AE5" s="3">
        <f>SUM(Table39[[#This Row],[CNA Hours Contract]], Table39[[#This Row],[NA in Training Hours Contract]], Table39[[#This Row],[Med Aide/Tech Hours Contract]])</f>
        <v>11.375444444444447</v>
      </c>
      <c r="AF5" s="4">
        <f>Table39[[#This Row],[CNA/NA/Med Aide Contract Hours]]/Table39[[#This Row],[Total CNA, NA in Training, Med Aide/Tech Hours]]</f>
        <v>7.6484773867920172E-2</v>
      </c>
      <c r="AG5" s="3">
        <v>117.54211111111113</v>
      </c>
      <c r="AH5" s="3">
        <v>11.375444444444447</v>
      </c>
      <c r="AI5" s="4">
        <f>Table39[[#This Row],[CNA Hours Contract]]/Table39[[#This Row],[CNA Hours]]</f>
        <v>9.6777608781344573E-2</v>
      </c>
      <c r="AJ5" s="3">
        <v>0.67500000000000004</v>
      </c>
      <c r="AK5" s="3">
        <v>0</v>
      </c>
      <c r="AL5" s="4">
        <f>Table39[[#This Row],[NA in Training Hours Contract]]/Table39[[#This Row],[NA in Training Hours]]</f>
        <v>0</v>
      </c>
      <c r="AM5" s="3">
        <v>30.511111111111113</v>
      </c>
      <c r="AN5" s="3">
        <v>0</v>
      </c>
      <c r="AO5" s="4">
        <f>Table39[[#This Row],[Med Aide/Tech Hours Contract]]/Table39[[#This Row],[Med Aide/Tech Hours]]</f>
        <v>0</v>
      </c>
      <c r="AP5" s="1" t="s">
        <v>3</v>
      </c>
      <c r="AQ5" s="1">
        <v>10</v>
      </c>
    </row>
    <row r="6" spans="1:43" x14ac:dyDescent="0.2">
      <c r="A6" s="1" t="s">
        <v>128</v>
      </c>
      <c r="B6" s="1" t="s">
        <v>133</v>
      </c>
      <c r="C6" s="1" t="s">
        <v>263</v>
      </c>
      <c r="D6" s="1" t="s">
        <v>334</v>
      </c>
      <c r="E6" s="3">
        <v>82.4</v>
      </c>
      <c r="F6" s="3">
        <f t="shared" si="0"/>
        <v>353.9666666666667</v>
      </c>
      <c r="G6" s="3">
        <f>SUM(Table39[[#This Row],[RN Hours Contract (W/ Admin, DON)]], Table39[[#This Row],[LPN Contract Hours (w/ Admin)]], Table39[[#This Row],[CNA/NA/Med Aide Contract Hours]])</f>
        <v>37.62222222222222</v>
      </c>
      <c r="H6" s="4">
        <f>Table39[[#This Row],[Total Contract Hours]]/Table39[[#This Row],[Total Hours Nurse Staffing]]</f>
        <v>0.10628747214113066</v>
      </c>
      <c r="I6" s="3">
        <f>SUM(Table39[[#This Row],[RN Hours]], Table39[[#This Row],[RN Admin Hours]], Table39[[#This Row],[RN DON Hours]])</f>
        <v>61.280555555555559</v>
      </c>
      <c r="J6" s="3">
        <f t="shared" si="1"/>
        <v>0</v>
      </c>
      <c r="K6" s="4">
        <f>Table39[[#This Row],[RN Hours Contract (W/ Admin, DON)]]/Table39[[#This Row],[RN Hours (w/ Admin, DON)]]</f>
        <v>0</v>
      </c>
      <c r="L6" s="3">
        <v>44.530555555555559</v>
      </c>
      <c r="M6" s="3">
        <v>0</v>
      </c>
      <c r="N6" s="4">
        <f>Table39[[#This Row],[RN Hours Contract]]/Table39[[#This Row],[RN Hours]]</f>
        <v>0</v>
      </c>
      <c r="O6" s="3">
        <v>11.416666666666666</v>
      </c>
      <c r="P6" s="3">
        <v>0</v>
      </c>
      <c r="Q6" s="4">
        <f>Table39[[#This Row],[RN Admin Hours Contract]]/Table39[[#This Row],[RN Admin Hours]]</f>
        <v>0</v>
      </c>
      <c r="R6" s="3">
        <v>5.333333333333333</v>
      </c>
      <c r="S6" s="3">
        <v>0</v>
      </c>
      <c r="T6" s="4">
        <f>Table39[[#This Row],[RN DON Hours Contract]]/Table39[[#This Row],[RN DON Hours]]</f>
        <v>0</v>
      </c>
      <c r="U6" s="3">
        <f>SUM(Table39[[#This Row],[LPN Hours]], Table39[[#This Row],[LPN Admin Hours]])</f>
        <v>58.205555555555556</v>
      </c>
      <c r="V6" s="3">
        <f>Table39[[#This Row],[LPN Hours Contract]]+Table39[[#This Row],[LPN Admin Hours Contract]]</f>
        <v>0</v>
      </c>
      <c r="W6" s="4">
        <f t="shared" si="2"/>
        <v>0</v>
      </c>
      <c r="X6" s="3">
        <v>55.983333333333334</v>
      </c>
      <c r="Y6" s="3">
        <v>0</v>
      </c>
      <c r="Z6" s="4">
        <f>Table39[[#This Row],[LPN Hours Contract]]/Table39[[#This Row],[LPN Hours]]</f>
        <v>0</v>
      </c>
      <c r="AA6" s="3">
        <v>2.2222222222222223</v>
      </c>
      <c r="AB6" s="3">
        <v>0</v>
      </c>
      <c r="AC6" s="4">
        <f>Table39[[#This Row],[LPN Admin Hours Contract]]/Table39[[#This Row],[LPN Admin Hours]]</f>
        <v>0</v>
      </c>
      <c r="AD6" s="3">
        <f>SUM(Table39[[#This Row],[CNA Hours]], Table39[[#This Row],[NA in Training Hours]], Table39[[#This Row],[Med Aide/Tech Hours]])</f>
        <v>234.48055555555555</v>
      </c>
      <c r="AE6" s="3">
        <f>SUM(Table39[[#This Row],[CNA Hours Contract]], Table39[[#This Row],[NA in Training Hours Contract]], Table39[[#This Row],[Med Aide/Tech Hours Contract]])</f>
        <v>37.62222222222222</v>
      </c>
      <c r="AF6" s="4">
        <f>Table39[[#This Row],[CNA/NA/Med Aide Contract Hours]]/Table39[[#This Row],[Total CNA, NA in Training, Med Aide/Tech Hours]]</f>
        <v>0.16044921990688638</v>
      </c>
      <c r="AG6" s="3">
        <v>199.68333333333334</v>
      </c>
      <c r="AH6" s="3">
        <v>37.62222222222222</v>
      </c>
      <c r="AI6" s="4">
        <f>Table39[[#This Row],[CNA Hours Contract]]/Table39[[#This Row],[CNA Hours]]</f>
        <v>0.18840942603566757</v>
      </c>
      <c r="AJ6" s="3">
        <v>12.983333333333333</v>
      </c>
      <c r="AK6" s="3">
        <v>0</v>
      </c>
      <c r="AL6" s="4">
        <f>Table39[[#This Row],[NA in Training Hours Contract]]/Table39[[#This Row],[NA in Training Hours]]</f>
        <v>0</v>
      </c>
      <c r="AM6" s="3">
        <v>21.81388888888889</v>
      </c>
      <c r="AN6" s="3">
        <v>0</v>
      </c>
      <c r="AO6" s="4">
        <f>Table39[[#This Row],[Med Aide/Tech Hours Contract]]/Table39[[#This Row],[Med Aide/Tech Hours]]</f>
        <v>0</v>
      </c>
      <c r="AP6" s="1" t="s">
        <v>4</v>
      </c>
      <c r="AQ6" s="1">
        <v>10</v>
      </c>
    </row>
    <row r="7" spans="1:43" x14ac:dyDescent="0.2">
      <c r="A7" s="1" t="s">
        <v>128</v>
      </c>
      <c r="B7" s="1" t="s">
        <v>134</v>
      </c>
      <c r="C7" s="1" t="s">
        <v>263</v>
      </c>
      <c r="D7" s="1" t="s">
        <v>334</v>
      </c>
      <c r="E7" s="3">
        <v>63.333333333333336</v>
      </c>
      <c r="F7" s="3">
        <f t="shared" si="0"/>
        <v>249.20766666666665</v>
      </c>
      <c r="G7" s="3">
        <f>SUM(Table39[[#This Row],[RN Hours Contract (W/ Admin, DON)]], Table39[[#This Row],[LPN Contract Hours (w/ Admin)]], Table39[[#This Row],[CNA/NA/Med Aide Contract Hours]])</f>
        <v>3.4642222222222223</v>
      </c>
      <c r="H7" s="4">
        <f>Table39[[#This Row],[Total Contract Hours]]/Table39[[#This Row],[Total Hours Nurse Staffing]]</f>
        <v>1.3900945619204689E-2</v>
      </c>
      <c r="I7" s="3">
        <f>SUM(Table39[[#This Row],[RN Hours]], Table39[[#This Row],[RN Admin Hours]], Table39[[#This Row],[RN DON Hours]])</f>
        <v>40.968888888888891</v>
      </c>
      <c r="J7" s="3">
        <f t="shared" si="1"/>
        <v>1.5277777777777777</v>
      </c>
      <c r="K7" s="4">
        <f>Table39[[#This Row],[RN Hours Contract (W/ Admin, DON)]]/Table39[[#This Row],[RN Hours (w/ Admin, DON)]]</f>
        <v>3.7291169451073983E-2</v>
      </c>
      <c r="L7" s="3">
        <v>24.701666666666668</v>
      </c>
      <c r="M7" s="3">
        <v>1.5277777777777777</v>
      </c>
      <c r="N7" s="4">
        <f>Table39[[#This Row],[RN Hours Contract]]/Table39[[#This Row],[RN Hours]]</f>
        <v>6.184917796819827E-2</v>
      </c>
      <c r="O7" s="3">
        <v>12.622777777777779</v>
      </c>
      <c r="P7" s="3">
        <v>0</v>
      </c>
      <c r="Q7" s="4">
        <f>Table39[[#This Row],[RN Admin Hours Contract]]/Table39[[#This Row],[RN Admin Hours]]</f>
        <v>0</v>
      </c>
      <c r="R7" s="3">
        <v>3.6444444444444444</v>
      </c>
      <c r="S7" s="3">
        <v>0</v>
      </c>
      <c r="T7" s="4">
        <f>Table39[[#This Row],[RN DON Hours Contract]]/Table39[[#This Row],[RN DON Hours]]</f>
        <v>0</v>
      </c>
      <c r="U7" s="3">
        <f>SUM(Table39[[#This Row],[LPN Hours]], Table39[[#This Row],[LPN Admin Hours]])</f>
        <v>60.209444444444443</v>
      </c>
      <c r="V7" s="3">
        <f>Table39[[#This Row],[LPN Hours Contract]]+Table39[[#This Row],[LPN Admin Hours Contract]]</f>
        <v>0.1768888888888889</v>
      </c>
      <c r="W7" s="4">
        <f t="shared" si="2"/>
        <v>2.9378927263164697E-3</v>
      </c>
      <c r="X7" s="3">
        <v>47.696333333333335</v>
      </c>
      <c r="Y7" s="3">
        <v>0.1768888888888889</v>
      </c>
      <c r="Z7" s="4">
        <f>Table39[[#This Row],[LPN Hours Contract]]/Table39[[#This Row],[LPN Hours]]</f>
        <v>3.7086475317226809E-3</v>
      </c>
      <c r="AA7" s="3">
        <v>12.51311111111111</v>
      </c>
      <c r="AB7" s="3">
        <v>0</v>
      </c>
      <c r="AC7" s="4">
        <f>Table39[[#This Row],[LPN Admin Hours Contract]]/Table39[[#This Row],[LPN Admin Hours]]</f>
        <v>0</v>
      </c>
      <c r="AD7" s="3">
        <f>SUM(Table39[[#This Row],[CNA Hours]], Table39[[#This Row],[NA in Training Hours]], Table39[[#This Row],[Med Aide/Tech Hours]])</f>
        <v>148.02933333333331</v>
      </c>
      <c r="AE7" s="3">
        <f>SUM(Table39[[#This Row],[CNA Hours Contract]], Table39[[#This Row],[NA in Training Hours Contract]], Table39[[#This Row],[Med Aide/Tech Hours Contract]])</f>
        <v>1.7595555555555555</v>
      </c>
      <c r="AF7" s="4">
        <f>Table39[[#This Row],[CNA/NA/Med Aide Contract Hours]]/Table39[[#This Row],[Total CNA, NA in Training, Med Aide/Tech Hours]]</f>
        <v>1.1886532999465573E-2</v>
      </c>
      <c r="AG7" s="3">
        <v>139.60477777777777</v>
      </c>
      <c r="AH7" s="3">
        <v>1.6762222222222223</v>
      </c>
      <c r="AI7" s="4">
        <f>Table39[[#This Row],[CNA Hours Contract]]/Table39[[#This Row],[CNA Hours]]</f>
        <v>1.2006911574977935E-2</v>
      </c>
      <c r="AJ7" s="3">
        <v>8.2523333333333362</v>
      </c>
      <c r="AK7" s="3">
        <v>0</v>
      </c>
      <c r="AL7" s="4">
        <f>Table39[[#This Row],[NA in Training Hours Contract]]/Table39[[#This Row],[NA in Training Hours]]</f>
        <v>0</v>
      </c>
      <c r="AM7" s="3">
        <v>0.17222222222222222</v>
      </c>
      <c r="AN7" s="3">
        <v>8.3333333333333329E-2</v>
      </c>
      <c r="AO7" s="4">
        <f>Table39[[#This Row],[Med Aide/Tech Hours Contract]]/Table39[[#This Row],[Med Aide/Tech Hours]]</f>
        <v>0.48387096774193544</v>
      </c>
      <c r="AP7" s="1" t="s">
        <v>5</v>
      </c>
      <c r="AQ7" s="1">
        <v>10</v>
      </c>
    </row>
    <row r="8" spans="1:43" x14ac:dyDescent="0.2">
      <c r="A8" s="1" t="s">
        <v>128</v>
      </c>
      <c r="B8" s="1" t="s">
        <v>135</v>
      </c>
      <c r="C8" s="1" t="s">
        <v>263</v>
      </c>
      <c r="D8" s="1" t="s">
        <v>334</v>
      </c>
      <c r="E8" s="3">
        <v>59</v>
      </c>
      <c r="F8" s="3">
        <f t="shared" si="0"/>
        <v>264.44477777777774</v>
      </c>
      <c r="G8" s="3">
        <f>SUM(Table39[[#This Row],[RN Hours Contract (W/ Admin, DON)]], Table39[[#This Row],[LPN Contract Hours (w/ Admin)]], Table39[[#This Row],[CNA/NA/Med Aide Contract Hours]])</f>
        <v>0.21388888888888888</v>
      </c>
      <c r="H8" s="4">
        <f>Table39[[#This Row],[Total Contract Hours]]/Table39[[#This Row],[Total Hours Nurse Staffing]]</f>
        <v>8.088225098875926E-4</v>
      </c>
      <c r="I8" s="3">
        <f>SUM(Table39[[#This Row],[RN Hours]], Table39[[#This Row],[RN Admin Hours]], Table39[[#This Row],[RN DON Hours]])</f>
        <v>66.992444444444445</v>
      </c>
      <c r="J8" s="3">
        <f t="shared" si="1"/>
        <v>0.21388888888888888</v>
      </c>
      <c r="K8" s="4">
        <f>Table39[[#This Row],[RN Hours Contract (W/ Admin, DON)]]/Table39[[#This Row],[RN Hours (w/ Admin, DON)]]</f>
        <v>3.1927315186455517E-3</v>
      </c>
      <c r="L8" s="3">
        <v>45.274111111111111</v>
      </c>
      <c r="M8" s="3">
        <v>0</v>
      </c>
      <c r="N8" s="4">
        <f>Table39[[#This Row],[RN Hours Contract]]/Table39[[#This Row],[RN Hours]]</f>
        <v>0</v>
      </c>
      <c r="O8" s="3">
        <v>16.101666666666667</v>
      </c>
      <c r="P8" s="3">
        <v>0.21388888888888888</v>
      </c>
      <c r="Q8" s="4">
        <f>Table39[[#This Row],[RN Admin Hours Contract]]/Table39[[#This Row],[RN Admin Hours]]</f>
        <v>1.3283649035641583E-2</v>
      </c>
      <c r="R8" s="3">
        <v>5.6166666666666663</v>
      </c>
      <c r="S8" s="3">
        <v>0</v>
      </c>
      <c r="T8" s="4">
        <f>Table39[[#This Row],[RN DON Hours Contract]]/Table39[[#This Row],[RN DON Hours]]</f>
        <v>0</v>
      </c>
      <c r="U8" s="3">
        <f>SUM(Table39[[#This Row],[LPN Hours]], Table39[[#This Row],[LPN Admin Hours]])</f>
        <v>51.456777777777781</v>
      </c>
      <c r="V8" s="3">
        <f>Table39[[#This Row],[LPN Hours Contract]]+Table39[[#This Row],[LPN Admin Hours Contract]]</f>
        <v>0</v>
      </c>
      <c r="W8" s="4">
        <f t="shared" si="2"/>
        <v>0</v>
      </c>
      <c r="X8" s="3">
        <v>40.646000000000001</v>
      </c>
      <c r="Y8" s="3">
        <v>0</v>
      </c>
      <c r="Z8" s="4">
        <f>Table39[[#This Row],[LPN Hours Contract]]/Table39[[#This Row],[LPN Hours]]</f>
        <v>0</v>
      </c>
      <c r="AA8" s="3">
        <v>10.810777777777778</v>
      </c>
      <c r="AB8" s="3">
        <v>0</v>
      </c>
      <c r="AC8" s="4">
        <f>Table39[[#This Row],[LPN Admin Hours Contract]]/Table39[[#This Row],[LPN Admin Hours]]</f>
        <v>0</v>
      </c>
      <c r="AD8" s="3">
        <f>SUM(Table39[[#This Row],[CNA Hours]], Table39[[#This Row],[NA in Training Hours]], Table39[[#This Row],[Med Aide/Tech Hours]])</f>
        <v>145.99555555555554</v>
      </c>
      <c r="AE8" s="3">
        <f>SUM(Table39[[#This Row],[CNA Hours Contract]], Table39[[#This Row],[NA in Training Hours Contract]], Table39[[#This Row],[Med Aide/Tech Hours Contract]])</f>
        <v>0</v>
      </c>
      <c r="AF8" s="4">
        <f>Table39[[#This Row],[CNA/NA/Med Aide Contract Hours]]/Table39[[#This Row],[Total CNA, NA in Training, Med Aide/Tech Hours]]</f>
        <v>0</v>
      </c>
      <c r="AG8" s="3">
        <v>141.30699999999999</v>
      </c>
      <c r="AH8" s="3">
        <v>0</v>
      </c>
      <c r="AI8" s="4">
        <f>Table39[[#This Row],[CNA Hours Contract]]/Table39[[#This Row],[CNA Hours]]</f>
        <v>0</v>
      </c>
      <c r="AJ8" s="3">
        <v>4.4496666666666673</v>
      </c>
      <c r="AK8" s="3">
        <v>0</v>
      </c>
      <c r="AL8" s="4">
        <f>Table39[[#This Row],[NA in Training Hours Contract]]/Table39[[#This Row],[NA in Training Hours]]</f>
        <v>0</v>
      </c>
      <c r="AM8" s="3">
        <v>0.2388888888888889</v>
      </c>
      <c r="AN8" s="3">
        <v>0</v>
      </c>
      <c r="AO8" s="4">
        <f>Table39[[#This Row],[Med Aide/Tech Hours Contract]]/Table39[[#This Row],[Med Aide/Tech Hours]]</f>
        <v>0</v>
      </c>
      <c r="AP8" s="1" t="s">
        <v>6</v>
      </c>
      <c r="AQ8" s="1">
        <v>10</v>
      </c>
    </row>
    <row r="9" spans="1:43" x14ac:dyDescent="0.2">
      <c r="A9" s="1" t="s">
        <v>128</v>
      </c>
      <c r="B9" s="1" t="s">
        <v>136</v>
      </c>
      <c r="C9" s="1" t="s">
        <v>281</v>
      </c>
      <c r="D9" s="1" t="s">
        <v>335</v>
      </c>
      <c r="E9" s="3">
        <v>49.155555555555559</v>
      </c>
      <c r="F9" s="3">
        <f t="shared" si="0"/>
        <v>227.76100000000002</v>
      </c>
      <c r="G9" s="3">
        <f>SUM(Table39[[#This Row],[RN Hours Contract (W/ Admin, DON)]], Table39[[#This Row],[LPN Contract Hours (w/ Admin)]], Table39[[#This Row],[CNA/NA/Med Aide Contract Hours]])</f>
        <v>71.425888888888892</v>
      </c>
      <c r="H9" s="4">
        <f>Table39[[#This Row],[Total Contract Hours]]/Table39[[#This Row],[Total Hours Nurse Staffing]]</f>
        <v>0.31360017250051098</v>
      </c>
      <c r="I9" s="3">
        <f>SUM(Table39[[#This Row],[RN Hours]], Table39[[#This Row],[RN Admin Hours]], Table39[[#This Row],[RN DON Hours]])</f>
        <v>45.284777777777776</v>
      </c>
      <c r="J9" s="3">
        <f t="shared" si="1"/>
        <v>11.202777777777778</v>
      </c>
      <c r="K9" s="4">
        <f>Table39[[#This Row],[RN Hours Contract (W/ Admin, DON)]]/Table39[[#This Row],[RN Hours (w/ Admin, DON)]]</f>
        <v>0.24738506684856085</v>
      </c>
      <c r="L9" s="3">
        <v>22.686444444444444</v>
      </c>
      <c r="M9" s="3">
        <v>9.6916666666666664</v>
      </c>
      <c r="N9" s="4">
        <f>Table39[[#This Row],[RN Hours Contract]]/Table39[[#This Row],[RN Hours]]</f>
        <v>0.42720077579367022</v>
      </c>
      <c r="O9" s="3">
        <v>17.259444444444444</v>
      </c>
      <c r="P9" s="3">
        <v>0</v>
      </c>
      <c r="Q9" s="4">
        <f>Table39[[#This Row],[RN Admin Hours Contract]]/Table39[[#This Row],[RN Admin Hours]]</f>
        <v>0</v>
      </c>
      <c r="R9" s="3">
        <v>5.3388888888888886</v>
      </c>
      <c r="S9" s="3">
        <v>1.5111111111111111</v>
      </c>
      <c r="T9" s="4">
        <f>Table39[[#This Row],[RN DON Hours Contract]]/Table39[[#This Row],[RN DON Hours]]</f>
        <v>0.28303850156087412</v>
      </c>
      <c r="U9" s="3">
        <f>SUM(Table39[[#This Row],[LPN Hours]], Table39[[#This Row],[LPN Admin Hours]])</f>
        <v>45.444444444444443</v>
      </c>
      <c r="V9" s="3">
        <f>Table39[[#This Row],[LPN Hours Contract]]+Table39[[#This Row],[LPN Admin Hours Contract]]</f>
        <v>14.438888888888888</v>
      </c>
      <c r="W9" s="4">
        <f t="shared" si="2"/>
        <v>0.31772616136919313</v>
      </c>
      <c r="X9" s="3">
        <v>33.623555555555555</v>
      </c>
      <c r="Y9" s="3">
        <v>14.438888888888888</v>
      </c>
      <c r="Z9" s="4">
        <f>Table39[[#This Row],[LPN Hours Contract]]/Table39[[#This Row],[LPN Hours]]</f>
        <v>0.4294277821104252</v>
      </c>
      <c r="AA9" s="3">
        <v>11.82088888888889</v>
      </c>
      <c r="AB9" s="3">
        <v>0</v>
      </c>
      <c r="AC9" s="4">
        <f>Table39[[#This Row],[LPN Admin Hours Contract]]/Table39[[#This Row],[LPN Admin Hours]]</f>
        <v>0</v>
      </c>
      <c r="AD9" s="3">
        <f>SUM(Table39[[#This Row],[CNA Hours]], Table39[[#This Row],[NA in Training Hours]], Table39[[#This Row],[Med Aide/Tech Hours]])</f>
        <v>137.03177777777779</v>
      </c>
      <c r="AE9" s="3">
        <f>SUM(Table39[[#This Row],[CNA Hours Contract]], Table39[[#This Row],[NA in Training Hours Contract]], Table39[[#This Row],[Med Aide/Tech Hours Contract]])</f>
        <v>45.784222222222219</v>
      </c>
      <c r="AF9" s="4">
        <f>Table39[[#This Row],[CNA/NA/Med Aide Contract Hours]]/Table39[[#This Row],[Total CNA, NA in Training, Med Aide/Tech Hours]]</f>
        <v>0.33411390383090372</v>
      </c>
      <c r="AG9" s="3">
        <v>115.23655555555557</v>
      </c>
      <c r="AH9" s="3">
        <v>45.784222222222219</v>
      </c>
      <c r="AI9" s="4">
        <f>Table39[[#This Row],[CNA Hours Contract]]/Table39[[#This Row],[CNA Hours]]</f>
        <v>0.39730641029225866</v>
      </c>
      <c r="AJ9" s="3">
        <v>16.929333333333336</v>
      </c>
      <c r="AK9" s="3">
        <v>0</v>
      </c>
      <c r="AL9" s="4">
        <f>Table39[[#This Row],[NA in Training Hours Contract]]/Table39[[#This Row],[NA in Training Hours]]</f>
        <v>0</v>
      </c>
      <c r="AM9" s="3">
        <v>4.8658888888888887</v>
      </c>
      <c r="AN9" s="3">
        <v>0</v>
      </c>
      <c r="AO9" s="4">
        <f>Table39[[#This Row],[Med Aide/Tech Hours Contract]]/Table39[[#This Row],[Med Aide/Tech Hours]]</f>
        <v>0</v>
      </c>
      <c r="AP9" s="1" t="s">
        <v>7</v>
      </c>
      <c r="AQ9" s="1">
        <v>10</v>
      </c>
    </row>
    <row r="10" spans="1:43" x14ac:dyDescent="0.2">
      <c r="A10" s="1" t="s">
        <v>128</v>
      </c>
      <c r="B10" s="1" t="s">
        <v>137</v>
      </c>
      <c r="C10" s="1" t="s">
        <v>282</v>
      </c>
      <c r="D10" s="1" t="s">
        <v>336</v>
      </c>
      <c r="E10" s="3">
        <v>60.366666666666667</v>
      </c>
      <c r="F10" s="3">
        <f t="shared" si="0"/>
        <v>268.14011111111108</v>
      </c>
      <c r="G10" s="3">
        <f>SUM(Table39[[#This Row],[RN Hours Contract (W/ Admin, DON)]], Table39[[#This Row],[LPN Contract Hours (w/ Admin)]], Table39[[#This Row],[CNA/NA/Med Aide Contract Hours]])</f>
        <v>0</v>
      </c>
      <c r="H10" s="4">
        <f>Table39[[#This Row],[Total Contract Hours]]/Table39[[#This Row],[Total Hours Nurse Staffing]]</f>
        <v>0</v>
      </c>
      <c r="I10" s="3">
        <f>SUM(Table39[[#This Row],[RN Hours]], Table39[[#This Row],[RN Admin Hours]], Table39[[#This Row],[RN DON Hours]])</f>
        <v>59.087333333333333</v>
      </c>
      <c r="J10" s="3">
        <f t="shared" si="1"/>
        <v>0</v>
      </c>
      <c r="K10" s="4">
        <f>Table39[[#This Row],[RN Hours Contract (W/ Admin, DON)]]/Table39[[#This Row],[RN Hours (w/ Admin, DON)]]</f>
        <v>0</v>
      </c>
      <c r="L10" s="3">
        <v>44.94166666666667</v>
      </c>
      <c r="M10" s="3">
        <v>0</v>
      </c>
      <c r="N10" s="4">
        <f>Table39[[#This Row],[RN Hours Contract]]/Table39[[#This Row],[RN Hours]]</f>
        <v>0</v>
      </c>
      <c r="O10" s="3">
        <v>8.3666666666666671</v>
      </c>
      <c r="P10" s="3">
        <v>0</v>
      </c>
      <c r="Q10" s="4">
        <f>Table39[[#This Row],[RN Admin Hours Contract]]/Table39[[#This Row],[RN Admin Hours]]</f>
        <v>0</v>
      </c>
      <c r="R10" s="3">
        <v>5.7789999999999999</v>
      </c>
      <c r="S10" s="3">
        <v>0</v>
      </c>
      <c r="T10" s="4">
        <f>Table39[[#This Row],[RN DON Hours Contract]]/Table39[[#This Row],[RN DON Hours]]</f>
        <v>0</v>
      </c>
      <c r="U10" s="3">
        <f>SUM(Table39[[#This Row],[LPN Hours]], Table39[[#This Row],[LPN Admin Hours]])</f>
        <v>22.819444444444446</v>
      </c>
      <c r="V10" s="3">
        <f>Table39[[#This Row],[LPN Hours Contract]]+Table39[[#This Row],[LPN Admin Hours Contract]]</f>
        <v>0</v>
      </c>
      <c r="W10" s="4">
        <f t="shared" si="2"/>
        <v>0</v>
      </c>
      <c r="X10" s="3">
        <v>17.291666666666668</v>
      </c>
      <c r="Y10" s="3">
        <v>0</v>
      </c>
      <c r="Z10" s="4">
        <f>Table39[[#This Row],[LPN Hours Contract]]/Table39[[#This Row],[LPN Hours]]</f>
        <v>0</v>
      </c>
      <c r="AA10" s="3">
        <v>5.5277777777777777</v>
      </c>
      <c r="AB10" s="3">
        <v>0</v>
      </c>
      <c r="AC10" s="4">
        <f>Table39[[#This Row],[LPN Admin Hours Contract]]/Table39[[#This Row],[LPN Admin Hours]]</f>
        <v>0</v>
      </c>
      <c r="AD10" s="3">
        <f>SUM(Table39[[#This Row],[CNA Hours]], Table39[[#This Row],[NA in Training Hours]], Table39[[#This Row],[Med Aide/Tech Hours]])</f>
        <v>186.23333333333332</v>
      </c>
      <c r="AE10" s="3">
        <f>SUM(Table39[[#This Row],[CNA Hours Contract]], Table39[[#This Row],[NA in Training Hours Contract]], Table39[[#This Row],[Med Aide/Tech Hours Contract]])</f>
        <v>0</v>
      </c>
      <c r="AF10" s="4">
        <f>Table39[[#This Row],[CNA/NA/Med Aide Contract Hours]]/Table39[[#This Row],[Total CNA, NA in Training, Med Aide/Tech Hours]]</f>
        <v>0</v>
      </c>
      <c r="AG10" s="3">
        <v>158.6861111111111</v>
      </c>
      <c r="AH10" s="3">
        <v>0</v>
      </c>
      <c r="AI10" s="4">
        <f>Table39[[#This Row],[CNA Hours Contract]]/Table39[[#This Row],[CNA Hours]]</f>
        <v>0</v>
      </c>
      <c r="AJ10" s="3">
        <v>0</v>
      </c>
      <c r="AK10" s="3">
        <v>0</v>
      </c>
      <c r="AL10" s="4">
        <v>0</v>
      </c>
      <c r="AM10" s="3">
        <v>27.547222222222221</v>
      </c>
      <c r="AN10" s="3">
        <v>0</v>
      </c>
      <c r="AO10" s="4">
        <f>Table39[[#This Row],[Med Aide/Tech Hours Contract]]/Table39[[#This Row],[Med Aide/Tech Hours]]</f>
        <v>0</v>
      </c>
      <c r="AP10" s="1" t="s">
        <v>8</v>
      </c>
      <c r="AQ10" s="1">
        <v>10</v>
      </c>
    </row>
    <row r="11" spans="1:43" x14ac:dyDescent="0.2">
      <c r="A11" s="1" t="s">
        <v>128</v>
      </c>
      <c r="B11" s="1" t="s">
        <v>138</v>
      </c>
      <c r="C11" s="1" t="s">
        <v>281</v>
      </c>
      <c r="D11" s="1" t="s">
        <v>335</v>
      </c>
      <c r="E11" s="3">
        <v>73.222222222222229</v>
      </c>
      <c r="F11" s="3">
        <f t="shared" si="0"/>
        <v>341.82422222222226</v>
      </c>
      <c r="G11" s="3">
        <f>SUM(Table39[[#This Row],[RN Hours Contract (W/ Admin, DON)]], Table39[[#This Row],[LPN Contract Hours (w/ Admin)]], Table39[[#This Row],[CNA/NA/Med Aide Contract Hours]])</f>
        <v>21.824222222222222</v>
      </c>
      <c r="H11" s="4">
        <f>Table39[[#This Row],[Total Contract Hours]]/Table39[[#This Row],[Total Hours Nurse Staffing]]</f>
        <v>6.3846330375131072E-2</v>
      </c>
      <c r="I11" s="3">
        <f>SUM(Table39[[#This Row],[RN Hours]], Table39[[#This Row],[RN Admin Hours]], Table39[[#This Row],[RN DON Hours]])</f>
        <v>60.147222222222226</v>
      </c>
      <c r="J11" s="3">
        <f t="shared" si="1"/>
        <v>0</v>
      </c>
      <c r="K11" s="4">
        <f>Table39[[#This Row],[RN Hours Contract (W/ Admin, DON)]]/Table39[[#This Row],[RN Hours (w/ Admin, DON)]]</f>
        <v>0</v>
      </c>
      <c r="L11" s="3">
        <v>42.861111111111114</v>
      </c>
      <c r="M11" s="3">
        <v>0</v>
      </c>
      <c r="N11" s="4">
        <f>Table39[[#This Row],[RN Hours Contract]]/Table39[[#This Row],[RN Hours]]</f>
        <v>0</v>
      </c>
      <c r="O11" s="3">
        <v>12.308333333333334</v>
      </c>
      <c r="P11" s="3">
        <v>0</v>
      </c>
      <c r="Q11" s="4">
        <f>Table39[[#This Row],[RN Admin Hours Contract]]/Table39[[#This Row],[RN Admin Hours]]</f>
        <v>0</v>
      </c>
      <c r="R11" s="3">
        <v>4.9777777777777779</v>
      </c>
      <c r="S11" s="3">
        <v>0</v>
      </c>
      <c r="T11" s="4">
        <f>Table39[[#This Row],[RN DON Hours Contract]]/Table39[[#This Row],[RN DON Hours]]</f>
        <v>0</v>
      </c>
      <c r="U11" s="3">
        <f>SUM(Table39[[#This Row],[LPN Hours]], Table39[[#This Row],[LPN Admin Hours]])</f>
        <v>73.022222222222226</v>
      </c>
      <c r="V11" s="3">
        <f>Table39[[#This Row],[LPN Hours Contract]]+Table39[[#This Row],[LPN Admin Hours Contract]]</f>
        <v>0</v>
      </c>
      <c r="W11" s="4">
        <f t="shared" si="2"/>
        <v>0</v>
      </c>
      <c r="X11" s="3">
        <v>73.022222222222226</v>
      </c>
      <c r="Y11" s="3">
        <v>0</v>
      </c>
      <c r="Z11" s="4">
        <f>Table39[[#This Row],[LPN Hours Contract]]/Table39[[#This Row],[LPN Hours]]</f>
        <v>0</v>
      </c>
      <c r="AA11" s="3">
        <v>0</v>
      </c>
      <c r="AB11" s="3">
        <v>0</v>
      </c>
      <c r="AC11" s="4">
        <v>0</v>
      </c>
      <c r="AD11" s="3">
        <f>SUM(Table39[[#This Row],[CNA Hours]], Table39[[#This Row],[NA in Training Hours]], Table39[[#This Row],[Med Aide/Tech Hours]])</f>
        <v>208.65477777777778</v>
      </c>
      <c r="AE11" s="3">
        <f>SUM(Table39[[#This Row],[CNA Hours Contract]], Table39[[#This Row],[NA in Training Hours Contract]], Table39[[#This Row],[Med Aide/Tech Hours Contract]])</f>
        <v>21.824222222222222</v>
      </c>
      <c r="AF11" s="4">
        <f>Table39[[#This Row],[CNA/NA/Med Aide Contract Hours]]/Table39[[#This Row],[Total CNA, NA in Training, Med Aide/Tech Hours]]</f>
        <v>0.10459488373405726</v>
      </c>
      <c r="AG11" s="3">
        <v>173.83255555555556</v>
      </c>
      <c r="AH11" s="3">
        <v>21.824222222222222</v>
      </c>
      <c r="AI11" s="4">
        <f>Table39[[#This Row],[CNA Hours Contract]]/Table39[[#This Row],[CNA Hours]]</f>
        <v>0.12554738180356192</v>
      </c>
      <c r="AJ11" s="3">
        <v>8.6861111111111118</v>
      </c>
      <c r="AK11" s="3">
        <v>0</v>
      </c>
      <c r="AL11" s="4">
        <f>Table39[[#This Row],[NA in Training Hours Contract]]/Table39[[#This Row],[NA in Training Hours]]</f>
        <v>0</v>
      </c>
      <c r="AM11" s="3">
        <v>26.136111111111113</v>
      </c>
      <c r="AN11" s="3">
        <v>0</v>
      </c>
      <c r="AO11" s="4">
        <f>Table39[[#This Row],[Med Aide/Tech Hours Contract]]/Table39[[#This Row],[Med Aide/Tech Hours]]</f>
        <v>0</v>
      </c>
      <c r="AP11" s="1" t="s">
        <v>9</v>
      </c>
      <c r="AQ11" s="1">
        <v>10</v>
      </c>
    </row>
    <row r="12" spans="1:43" x14ac:dyDescent="0.2">
      <c r="A12" s="1" t="s">
        <v>128</v>
      </c>
      <c r="B12" s="1" t="s">
        <v>139</v>
      </c>
      <c r="C12" s="1" t="s">
        <v>263</v>
      </c>
      <c r="D12" s="1" t="s">
        <v>334</v>
      </c>
      <c r="E12" s="3">
        <v>43.055555555555557</v>
      </c>
      <c r="F12" s="3">
        <f t="shared" si="0"/>
        <v>178.53066666666666</v>
      </c>
      <c r="G12" s="3">
        <f>SUM(Table39[[#This Row],[RN Hours Contract (W/ Admin, DON)]], Table39[[#This Row],[LPN Contract Hours (w/ Admin)]], Table39[[#This Row],[CNA/NA/Med Aide Contract Hours]])</f>
        <v>7.7777777777777779E-2</v>
      </c>
      <c r="H12" s="4">
        <f>Table39[[#This Row],[Total Contract Hours]]/Table39[[#This Row],[Total Hours Nurse Staffing]]</f>
        <v>4.3565500107046659E-4</v>
      </c>
      <c r="I12" s="3">
        <f>SUM(Table39[[#This Row],[RN Hours]], Table39[[#This Row],[RN Admin Hours]], Table39[[#This Row],[RN DON Hours]])</f>
        <v>35.912666666666667</v>
      </c>
      <c r="J12" s="3">
        <f t="shared" si="1"/>
        <v>7.7777777777777779E-2</v>
      </c>
      <c r="K12" s="4">
        <f>Table39[[#This Row],[RN Hours Contract (W/ Admin, DON)]]/Table39[[#This Row],[RN Hours (w/ Admin, DON)]]</f>
        <v>2.1657477708267587E-3</v>
      </c>
      <c r="L12" s="3">
        <v>18.90088888888889</v>
      </c>
      <c r="M12" s="3">
        <v>7.7777777777777779E-2</v>
      </c>
      <c r="N12" s="4">
        <f>Table39[[#This Row],[RN Hours Contract]]/Table39[[#This Row],[RN Hours]]</f>
        <v>4.1150328026900553E-3</v>
      </c>
      <c r="O12" s="3">
        <v>11.478444444444444</v>
      </c>
      <c r="P12" s="3">
        <v>0</v>
      </c>
      <c r="Q12" s="4">
        <f>Table39[[#This Row],[RN Admin Hours Contract]]/Table39[[#This Row],[RN Admin Hours]]</f>
        <v>0</v>
      </c>
      <c r="R12" s="3">
        <v>5.5333333333333332</v>
      </c>
      <c r="S12" s="3">
        <v>0</v>
      </c>
      <c r="T12" s="4">
        <f>Table39[[#This Row],[RN DON Hours Contract]]/Table39[[#This Row],[RN DON Hours]]</f>
        <v>0</v>
      </c>
      <c r="U12" s="3">
        <f>SUM(Table39[[#This Row],[LPN Hours]], Table39[[#This Row],[LPN Admin Hours]])</f>
        <v>25.185111111111109</v>
      </c>
      <c r="V12" s="3">
        <f>Table39[[#This Row],[LPN Hours Contract]]+Table39[[#This Row],[LPN Admin Hours Contract]]</f>
        <v>0</v>
      </c>
      <c r="W12" s="4">
        <f t="shared" si="2"/>
        <v>0</v>
      </c>
      <c r="X12" s="3">
        <v>25.185111111111109</v>
      </c>
      <c r="Y12" s="3">
        <v>0</v>
      </c>
      <c r="Z12" s="4">
        <f>Table39[[#This Row],[LPN Hours Contract]]/Table39[[#This Row],[LPN Hours]]</f>
        <v>0</v>
      </c>
      <c r="AA12" s="3">
        <v>0</v>
      </c>
      <c r="AB12" s="3">
        <v>0</v>
      </c>
      <c r="AC12" s="4">
        <v>0</v>
      </c>
      <c r="AD12" s="3">
        <f>SUM(Table39[[#This Row],[CNA Hours]], Table39[[#This Row],[NA in Training Hours]], Table39[[#This Row],[Med Aide/Tech Hours]])</f>
        <v>117.43288888888888</v>
      </c>
      <c r="AE12" s="3">
        <f>SUM(Table39[[#This Row],[CNA Hours Contract]], Table39[[#This Row],[NA in Training Hours Contract]], Table39[[#This Row],[Med Aide/Tech Hours Contract]])</f>
        <v>0</v>
      </c>
      <c r="AF12" s="4">
        <f>Table39[[#This Row],[CNA/NA/Med Aide Contract Hours]]/Table39[[#This Row],[Total CNA, NA in Training, Med Aide/Tech Hours]]</f>
        <v>0</v>
      </c>
      <c r="AG12" s="3">
        <v>107.08877777777778</v>
      </c>
      <c r="AH12" s="3">
        <v>0</v>
      </c>
      <c r="AI12" s="4">
        <f>Table39[[#This Row],[CNA Hours Contract]]/Table39[[#This Row],[CNA Hours]]</f>
        <v>0</v>
      </c>
      <c r="AJ12" s="3">
        <v>3.4354444444444452</v>
      </c>
      <c r="AK12" s="3">
        <v>0</v>
      </c>
      <c r="AL12" s="4">
        <f>Table39[[#This Row],[NA in Training Hours Contract]]/Table39[[#This Row],[NA in Training Hours]]</f>
        <v>0</v>
      </c>
      <c r="AM12" s="3">
        <v>6.9086666666666678</v>
      </c>
      <c r="AN12" s="3">
        <v>0</v>
      </c>
      <c r="AO12" s="4">
        <f>Table39[[#This Row],[Med Aide/Tech Hours Contract]]/Table39[[#This Row],[Med Aide/Tech Hours]]</f>
        <v>0</v>
      </c>
      <c r="AP12" s="1" t="s">
        <v>10</v>
      </c>
      <c r="AQ12" s="1">
        <v>10</v>
      </c>
    </row>
    <row r="13" spans="1:43" x14ac:dyDescent="0.2">
      <c r="A13" s="1" t="s">
        <v>128</v>
      </c>
      <c r="B13" s="1" t="s">
        <v>140</v>
      </c>
      <c r="C13" s="1" t="s">
        <v>283</v>
      </c>
      <c r="D13" s="1" t="s">
        <v>337</v>
      </c>
      <c r="E13" s="3">
        <v>41.8</v>
      </c>
      <c r="F13" s="3">
        <f t="shared" si="0"/>
        <v>176.6008888888889</v>
      </c>
      <c r="G13" s="3">
        <f>SUM(Table39[[#This Row],[RN Hours Contract (W/ Admin, DON)]], Table39[[#This Row],[LPN Contract Hours (w/ Admin)]], Table39[[#This Row],[CNA/NA/Med Aide Contract Hours]])</f>
        <v>0</v>
      </c>
      <c r="H13" s="4">
        <f>Table39[[#This Row],[Total Contract Hours]]/Table39[[#This Row],[Total Hours Nurse Staffing]]</f>
        <v>0</v>
      </c>
      <c r="I13" s="3">
        <f>SUM(Table39[[#This Row],[RN Hours]], Table39[[#This Row],[RN Admin Hours]], Table39[[#This Row],[RN DON Hours]])</f>
        <v>16.286666666666665</v>
      </c>
      <c r="J13" s="3">
        <f t="shared" si="1"/>
        <v>0</v>
      </c>
      <c r="K13" s="4">
        <f>Table39[[#This Row],[RN Hours Contract (W/ Admin, DON)]]/Table39[[#This Row],[RN Hours (w/ Admin, DON)]]</f>
        <v>0</v>
      </c>
      <c r="L13" s="3">
        <v>11.28588888888889</v>
      </c>
      <c r="M13" s="3">
        <v>0</v>
      </c>
      <c r="N13" s="4">
        <f>Table39[[#This Row],[RN Hours Contract]]/Table39[[#This Row],[RN Hours]]</f>
        <v>0</v>
      </c>
      <c r="O13" s="3">
        <v>0</v>
      </c>
      <c r="P13" s="3">
        <v>0</v>
      </c>
      <c r="Q13" s="4">
        <v>0</v>
      </c>
      <c r="R13" s="3">
        <v>5.0007777777777767</v>
      </c>
      <c r="S13" s="3">
        <v>0</v>
      </c>
      <c r="T13" s="4">
        <f>Table39[[#This Row],[RN DON Hours Contract]]/Table39[[#This Row],[RN DON Hours]]</f>
        <v>0</v>
      </c>
      <c r="U13" s="3">
        <f>SUM(Table39[[#This Row],[LPN Hours]], Table39[[#This Row],[LPN Admin Hours]])</f>
        <v>32.794555555555561</v>
      </c>
      <c r="V13" s="3">
        <f>Table39[[#This Row],[LPN Hours Contract]]+Table39[[#This Row],[LPN Admin Hours Contract]]</f>
        <v>0</v>
      </c>
      <c r="W13" s="4">
        <f t="shared" si="2"/>
        <v>0</v>
      </c>
      <c r="X13" s="3">
        <v>30.901444444444447</v>
      </c>
      <c r="Y13" s="3">
        <v>0</v>
      </c>
      <c r="Z13" s="4">
        <f>Table39[[#This Row],[LPN Hours Contract]]/Table39[[#This Row],[LPN Hours]]</f>
        <v>0</v>
      </c>
      <c r="AA13" s="3">
        <v>1.8931111111111114</v>
      </c>
      <c r="AB13" s="3">
        <v>0</v>
      </c>
      <c r="AC13" s="4">
        <f>Table39[[#This Row],[LPN Admin Hours Contract]]/Table39[[#This Row],[LPN Admin Hours]]</f>
        <v>0</v>
      </c>
      <c r="AD13" s="3">
        <f>SUM(Table39[[#This Row],[CNA Hours]], Table39[[#This Row],[NA in Training Hours]], Table39[[#This Row],[Med Aide/Tech Hours]])</f>
        <v>127.51966666666668</v>
      </c>
      <c r="AE13" s="3">
        <f>SUM(Table39[[#This Row],[CNA Hours Contract]], Table39[[#This Row],[NA in Training Hours Contract]], Table39[[#This Row],[Med Aide/Tech Hours Contract]])</f>
        <v>0</v>
      </c>
      <c r="AF13" s="4">
        <f>Table39[[#This Row],[CNA/NA/Med Aide Contract Hours]]/Table39[[#This Row],[Total CNA, NA in Training, Med Aide/Tech Hours]]</f>
        <v>0</v>
      </c>
      <c r="AG13" s="3">
        <v>123.2778888888889</v>
      </c>
      <c r="AH13" s="3">
        <v>0</v>
      </c>
      <c r="AI13" s="4">
        <f>Table39[[#This Row],[CNA Hours Contract]]/Table39[[#This Row],[CNA Hours]]</f>
        <v>0</v>
      </c>
      <c r="AJ13" s="3">
        <v>0</v>
      </c>
      <c r="AK13" s="3">
        <v>0</v>
      </c>
      <c r="AL13" s="4">
        <v>0</v>
      </c>
      <c r="AM13" s="3">
        <v>4.2417777777777781</v>
      </c>
      <c r="AN13" s="3">
        <v>0</v>
      </c>
      <c r="AO13" s="4">
        <f>Table39[[#This Row],[Med Aide/Tech Hours Contract]]/Table39[[#This Row],[Med Aide/Tech Hours]]</f>
        <v>0</v>
      </c>
      <c r="AP13" s="1" t="s">
        <v>11</v>
      </c>
      <c r="AQ13" s="1">
        <v>10</v>
      </c>
    </row>
    <row r="14" spans="1:43" x14ac:dyDescent="0.2">
      <c r="A14" s="1" t="s">
        <v>128</v>
      </c>
      <c r="B14" s="1" t="s">
        <v>141</v>
      </c>
      <c r="C14" s="1" t="s">
        <v>279</v>
      </c>
      <c r="D14" s="1" t="s">
        <v>334</v>
      </c>
      <c r="E14" s="3">
        <v>59.06666666666667</v>
      </c>
      <c r="F14" s="3">
        <f t="shared" si="0"/>
        <v>324.17866666666669</v>
      </c>
      <c r="G14" s="3">
        <f>SUM(Table39[[#This Row],[RN Hours Contract (W/ Admin, DON)]], Table39[[#This Row],[LPN Contract Hours (w/ Admin)]], Table39[[#This Row],[CNA/NA/Med Aide Contract Hours]])</f>
        <v>0</v>
      </c>
      <c r="H14" s="4">
        <f>Table39[[#This Row],[Total Contract Hours]]/Table39[[#This Row],[Total Hours Nurse Staffing]]</f>
        <v>0</v>
      </c>
      <c r="I14" s="3">
        <f>SUM(Table39[[#This Row],[RN Hours]], Table39[[#This Row],[RN Admin Hours]], Table39[[#This Row],[RN DON Hours]])</f>
        <v>41.122333333333337</v>
      </c>
      <c r="J14" s="3">
        <f t="shared" si="1"/>
        <v>0</v>
      </c>
      <c r="K14" s="4">
        <f>Table39[[#This Row],[RN Hours Contract (W/ Admin, DON)]]/Table39[[#This Row],[RN Hours (w/ Admin, DON)]]</f>
        <v>0</v>
      </c>
      <c r="L14" s="3">
        <v>35.433444444444447</v>
      </c>
      <c r="M14" s="3">
        <v>0</v>
      </c>
      <c r="N14" s="4">
        <f>Table39[[#This Row],[RN Hours Contract]]/Table39[[#This Row],[RN Hours]]</f>
        <v>0</v>
      </c>
      <c r="O14" s="3">
        <v>0</v>
      </c>
      <c r="P14" s="3">
        <v>0</v>
      </c>
      <c r="Q14" s="4">
        <v>0</v>
      </c>
      <c r="R14" s="3">
        <v>5.6888888888888891</v>
      </c>
      <c r="S14" s="3">
        <v>0</v>
      </c>
      <c r="T14" s="4">
        <f>Table39[[#This Row],[RN DON Hours Contract]]/Table39[[#This Row],[RN DON Hours]]</f>
        <v>0</v>
      </c>
      <c r="U14" s="3">
        <f>SUM(Table39[[#This Row],[LPN Hours]], Table39[[#This Row],[LPN Admin Hours]])</f>
        <v>53.92977777777778</v>
      </c>
      <c r="V14" s="3">
        <f>Table39[[#This Row],[LPN Hours Contract]]+Table39[[#This Row],[LPN Admin Hours Contract]]</f>
        <v>0</v>
      </c>
      <c r="W14" s="4">
        <f t="shared" si="2"/>
        <v>0</v>
      </c>
      <c r="X14" s="3">
        <v>38.107555555555557</v>
      </c>
      <c r="Y14" s="3">
        <v>0</v>
      </c>
      <c r="Z14" s="4">
        <f>Table39[[#This Row],[LPN Hours Contract]]/Table39[[#This Row],[LPN Hours]]</f>
        <v>0</v>
      </c>
      <c r="AA14" s="3">
        <v>15.822222222222223</v>
      </c>
      <c r="AB14" s="3">
        <v>0</v>
      </c>
      <c r="AC14" s="4">
        <f>Table39[[#This Row],[LPN Admin Hours Contract]]/Table39[[#This Row],[LPN Admin Hours]]</f>
        <v>0</v>
      </c>
      <c r="AD14" s="3">
        <f>SUM(Table39[[#This Row],[CNA Hours]], Table39[[#This Row],[NA in Training Hours]], Table39[[#This Row],[Med Aide/Tech Hours]])</f>
        <v>229.12655555555557</v>
      </c>
      <c r="AE14" s="3">
        <f>SUM(Table39[[#This Row],[CNA Hours Contract]], Table39[[#This Row],[NA in Training Hours Contract]], Table39[[#This Row],[Med Aide/Tech Hours Contract]])</f>
        <v>0</v>
      </c>
      <c r="AF14" s="4">
        <f>Table39[[#This Row],[CNA/NA/Med Aide Contract Hours]]/Table39[[#This Row],[Total CNA, NA in Training, Med Aide/Tech Hours]]</f>
        <v>0</v>
      </c>
      <c r="AG14" s="3">
        <v>199.15544444444447</v>
      </c>
      <c r="AH14" s="3">
        <v>0</v>
      </c>
      <c r="AI14" s="4">
        <f>Table39[[#This Row],[CNA Hours Contract]]/Table39[[#This Row],[CNA Hours]]</f>
        <v>0</v>
      </c>
      <c r="AJ14" s="3">
        <v>0</v>
      </c>
      <c r="AK14" s="3">
        <v>0</v>
      </c>
      <c r="AL14" s="4">
        <v>0</v>
      </c>
      <c r="AM14" s="3">
        <v>29.971111111111114</v>
      </c>
      <c r="AN14" s="3">
        <v>0</v>
      </c>
      <c r="AO14" s="4">
        <f>Table39[[#This Row],[Med Aide/Tech Hours Contract]]/Table39[[#This Row],[Med Aide/Tech Hours]]</f>
        <v>0</v>
      </c>
      <c r="AP14" s="1" t="s">
        <v>12</v>
      </c>
      <c r="AQ14" s="1">
        <v>10</v>
      </c>
    </row>
    <row r="15" spans="1:43" x14ac:dyDescent="0.2">
      <c r="A15" s="1" t="s">
        <v>128</v>
      </c>
      <c r="B15" s="1" t="s">
        <v>142</v>
      </c>
      <c r="C15" s="1" t="s">
        <v>284</v>
      </c>
      <c r="D15" s="1" t="s">
        <v>323</v>
      </c>
      <c r="E15" s="3">
        <v>62.777777777777779</v>
      </c>
      <c r="F15" s="3">
        <f t="shared" si="0"/>
        <v>327.1491111111111</v>
      </c>
      <c r="G15" s="3">
        <f>SUM(Table39[[#This Row],[RN Hours Contract (W/ Admin, DON)]], Table39[[#This Row],[LPN Contract Hours (w/ Admin)]], Table39[[#This Row],[CNA/NA/Med Aide Contract Hours]])</f>
        <v>71.646888888888881</v>
      </c>
      <c r="H15" s="4">
        <f>Table39[[#This Row],[Total Contract Hours]]/Table39[[#This Row],[Total Hours Nurse Staffing]]</f>
        <v>0.21900377062175522</v>
      </c>
      <c r="I15" s="3">
        <f>SUM(Table39[[#This Row],[RN Hours]], Table39[[#This Row],[RN Admin Hours]], Table39[[#This Row],[RN DON Hours]])</f>
        <v>52.805</v>
      </c>
      <c r="J15" s="3">
        <f t="shared" si="1"/>
        <v>2.6027777777777779</v>
      </c>
      <c r="K15" s="4">
        <f>Table39[[#This Row],[RN Hours Contract (W/ Admin, DON)]]/Table39[[#This Row],[RN Hours (w/ Admin, DON)]]</f>
        <v>4.9290366021736157E-2</v>
      </c>
      <c r="L15" s="3">
        <v>27.36611111111111</v>
      </c>
      <c r="M15" s="3">
        <v>2.6027777777777779</v>
      </c>
      <c r="N15" s="4">
        <f>Table39[[#This Row],[RN Hours Contract]]/Table39[[#This Row],[RN Hours]]</f>
        <v>9.5109523132828527E-2</v>
      </c>
      <c r="O15" s="3">
        <v>20.194444444444443</v>
      </c>
      <c r="P15" s="3">
        <v>0</v>
      </c>
      <c r="Q15" s="4">
        <f>Table39[[#This Row],[RN Admin Hours Contract]]/Table39[[#This Row],[RN Admin Hours]]</f>
        <v>0</v>
      </c>
      <c r="R15" s="3">
        <v>5.2444444444444445</v>
      </c>
      <c r="S15" s="3">
        <v>0</v>
      </c>
      <c r="T15" s="4">
        <f>Table39[[#This Row],[RN DON Hours Contract]]/Table39[[#This Row],[RN DON Hours]]</f>
        <v>0</v>
      </c>
      <c r="U15" s="3">
        <f>SUM(Table39[[#This Row],[LPN Hours]], Table39[[#This Row],[LPN Admin Hours]])</f>
        <v>59.044888888888892</v>
      </c>
      <c r="V15" s="3">
        <f>Table39[[#This Row],[LPN Hours Contract]]+Table39[[#This Row],[LPN Admin Hours Contract]]</f>
        <v>14.972222222222221</v>
      </c>
      <c r="W15" s="4">
        <f t="shared" si="2"/>
        <v>0.25357355232553763</v>
      </c>
      <c r="X15" s="3">
        <v>52.586555555555556</v>
      </c>
      <c r="Y15" s="3">
        <v>14.972222222222221</v>
      </c>
      <c r="Z15" s="4">
        <f>Table39[[#This Row],[LPN Hours Contract]]/Table39[[#This Row],[LPN Hours]]</f>
        <v>0.28471578075511483</v>
      </c>
      <c r="AA15" s="3">
        <v>6.458333333333333</v>
      </c>
      <c r="AB15" s="3">
        <v>0</v>
      </c>
      <c r="AC15" s="4">
        <f>Table39[[#This Row],[LPN Admin Hours Contract]]/Table39[[#This Row],[LPN Admin Hours]]</f>
        <v>0</v>
      </c>
      <c r="AD15" s="3">
        <f>SUM(Table39[[#This Row],[CNA Hours]], Table39[[#This Row],[NA in Training Hours]], Table39[[#This Row],[Med Aide/Tech Hours]])</f>
        <v>215.29922222222223</v>
      </c>
      <c r="AE15" s="3">
        <f>SUM(Table39[[#This Row],[CNA Hours Contract]], Table39[[#This Row],[NA in Training Hours Contract]], Table39[[#This Row],[Med Aide/Tech Hours Contract]])</f>
        <v>54.071888888888878</v>
      </c>
      <c r="AF15" s="4">
        <f>Table39[[#This Row],[CNA/NA/Med Aide Contract Hours]]/Table39[[#This Row],[Total CNA, NA in Training, Med Aide/Tech Hours]]</f>
        <v>0.25114762761696507</v>
      </c>
      <c r="AG15" s="3">
        <v>173.697</v>
      </c>
      <c r="AH15" s="3">
        <v>53.771888888888881</v>
      </c>
      <c r="AI15" s="4">
        <f>Table39[[#This Row],[CNA Hours Contract]]/Table39[[#This Row],[CNA Hours]]</f>
        <v>0.30957292808101972</v>
      </c>
      <c r="AJ15" s="3">
        <v>20.068555555555555</v>
      </c>
      <c r="AK15" s="3">
        <v>0</v>
      </c>
      <c r="AL15" s="4">
        <f>Table39[[#This Row],[NA in Training Hours Contract]]/Table39[[#This Row],[NA in Training Hours]]</f>
        <v>0</v>
      </c>
      <c r="AM15" s="3">
        <v>21.533666666666669</v>
      </c>
      <c r="AN15" s="3">
        <v>0.3</v>
      </c>
      <c r="AO15" s="4">
        <f>Table39[[#This Row],[Med Aide/Tech Hours Contract]]/Table39[[#This Row],[Med Aide/Tech Hours]]</f>
        <v>1.3931672884320675E-2</v>
      </c>
      <c r="AP15" s="1" t="s">
        <v>13</v>
      </c>
      <c r="AQ15" s="1">
        <v>10</v>
      </c>
    </row>
    <row r="16" spans="1:43" x14ac:dyDescent="0.2">
      <c r="A16" s="1" t="s">
        <v>128</v>
      </c>
      <c r="B16" s="1" t="s">
        <v>143</v>
      </c>
      <c r="C16" s="1" t="s">
        <v>262</v>
      </c>
      <c r="D16" s="1" t="s">
        <v>335</v>
      </c>
      <c r="E16" s="3">
        <v>67.288888888888891</v>
      </c>
      <c r="F16" s="3">
        <f t="shared" si="0"/>
        <v>358.55855555555559</v>
      </c>
      <c r="G16" s="3">
        <f>SUM(Table39[[#This Row],[RN Hours Contract (W/ Admin, DON)]], Table39[[#This Row],[LPN Contract Hours (w/ Admin)]], Table39[[#This Row],[CNA/NA/Med Aide Contract Hours]])</f>
        <v>5.2166666666666668</v>
      </c>
      <c r="H16" s="4">
        <f>Table39[[#This Row],[Total Contract Hours]]/Table39[[#This Row],[Total Hours Nurse Staffing]]</f>
        <v>1.4548995096725251E-2</v>
      </c>
      <c r="I16" s="3">
        <f>SUM(Table39[[#This Row],[RN Hours]], Table39[[#This Row],[RN Admin Hours]], Table39[[#This Row],[RN DON Hours]])</f>
        <v>44.016888888888893</v>
      </c>
      <c r="J16" s="3">
        <f t="shared" si="1"/>
        <v>0</v>
      </c>
      <c r="K16" s="4">
        <f>Table39[[#This Row],[RN Hours Contract (W/ Admin, DON)]]/Table39[[#This Row],[RN Hours (w/ Admin, DON)]]</f>
        <v>0</v>
      </c>
      <c r="L16" s="3">
        <v>13.196333333333333</v>
      </c>
      <c r="M16" s="3">
        <v>0</v>
      </c>
      <c r="N16" s="4">
        <f>Table39[[#This Row],[RN Hours Contract]]/Table39[[#This Row],[RN Hours]]</f>
        <v>0</v>
      </c>
      <c r="O16" s="3">
        <v>25.220555555555556</v>
      </c>
      <c r="P16" s="3">
        <v>0</v>
      </c>
      <c r="Q16" s="4">
        <f>Table39[[#This Row],[RN Admin Hours Contract]]/Table39[[#This Row],[RN Admin Hours]]</f>
        <v>0</v>
      </c>
      <c r="R16" s="3">
        <v>5.6</v>
      </c>
      <c r="S16" s="3">
        <v>0</v>
      </c>
      <c r="T16" s="4">
        <f>Table39[[#This Row],[RN DON Hours Contract]]/Table39[[#This Row],[RN DON Hours]]</f>
        <v>0</v>
      </c>
      <c r="U16" s="3">
        <f>SUM(Table39[[#This Row],[LPN Hours]], Table39[[#This Row],[LPN Admin Hours]])</f>
        <v>81.00833333333334</v>
      </c>
      <c r="V16" s="3">
        <f>Table39[[#This Row],[LPN Hours Contract]]+Table39[[#This Row],[LPN Admin Hours Contract]]</f>
        <v>4.3777777777777782</v>
      </c>
      <c r="W16" s="4">
        <f t="shared" si="2"/>
        <v>5.4041079449987997E-2</v>
      </c>
      <c r="X16" s="3">
        <v>81.00833333333334</v>
      </c>
      <c r="Y16" s="3">
        <v>4.3777777777777782</v>
      </c>
      <c r="Z16" s="4">
        <f>Table39[[#This Row],[LPN Hours Contract]]/Table39[[#This Row],[LPN Hours]]</f>
        <v>5.4041079449987997E-2</v>
      </c>
      <c r="AA16" s="3">
        <v>0</v>
      </c>
      <c r="AB16" s="3">
        <v>0</v>
      </c>
      <c r="AC16" s="4">
        <v>0</v>
      </c>
      <c r="AD16" s="3">
        <f>SUM(Table39[[#This Row],[CNA Hours]], Table39[[#This Row],[NA in Training Hours]], Table39[[#This Row],[Med Aide/Tech Hours]])</f>
        <v>233.53333333333336</v>
      </c>
      <c r="AE16" s="3">
        <f>SUM(Table39[[#This Row],[CNA Hours Contract]], Table39[[#This Row],[NA in Training Hours Contract]], Table39[[#This Row],[Med Aide/Tech Hours Contract]])</f>
        <v>0.83888888888888891</v>
      </c>
      <c r="AF16" s="4">
        <f>Table39[[#This Row],[CNA/NA/Med Aide Contract Hours]]/Table39[[#This Row],[Total CNA, NA in Training, Med Aide/Tech Hours]]</f>
        <v>3.592159101722333E-3</v>
      </c>
      <c r="AG16" s="3">
        <v>166.50555555555556</v>
      </c>
      <c r="AH16" s="3">
        <v>0.75</v>
      </c>
      <c r="AI16" s="4">
        <f>Table39[[#This Row],[CNA Hours Contract]]/Table39[[#This Row],[CNA Hours]]</f>
        <v>4.5043542090687661E-3</v>
      </c>
      <c r="AJ16" s="3">
        <v>33.411111111111111</v>
      </c>
      <c r="AK16" s="3">
        <v>0</v>
      </c>
      <c r="AL16" s="4">
        <f>Table39[[#This Row],[NA in Training Hours Contract]]/Table39[[#This Row],[NA in Training Hours]]</f>
        <v>0</v>
      </c>
      <c r="AM16" s="3">
        <v>33.616666666666667</v>
      </c>
      <c r="AN16" s="3">
        <v>8.8888888888888892E-2</v>
      </c>
      <c r="AO16" s="4">
        <f>Table39[[#This Row],[Med Aide/Tech Hours Contract]]/Table39[[#This Row],[Med Aide/Tech Hours]]</f>
        <v>2.6441910428028426E-3</v>
      </c>
      <c r="AP16" s="1" t="s">
        <v>14</v>
      </c>
      <c r="AQ16" s="1">
        <v>10</v>
      </c>
    </row>
    <row r="17" spans="1:43" x14ac:dyDescent="0.2">
      <c r="A17" s="1" t="s">
        <v>128</v>
      </c>
      <c r="B17" s="1" t="s">
        <v>144</v>
      </c>
      <c r="C17" s="1" t="s">
        <v>273</v>
      </c>
      <c r="D17" s="1" t="s">
        <v>319</v>
      </c>
      <c r="E17" s="3">
        <v>55.93333333333333</v>
      </c>
      <c r="F17" s="3">
        <f t="shared" si="0"/>
        <v>310.92155555555553</v>
      </c>
      <c r="G17" s="3">
        <f>SUM(Table39[[#This Row],[RN Hours Contract (W/ Admin, DON)]], Table39[[#This Row],[LPN Contract Hours (w/ Admin)]], Table39[[#This Row],[CNA/NA/Med Aide Contract Hours]])</f>
        <v>85.748888888888871</v>
      </c>
      <c r="H17" s="4">
        <f>Table39[[#This Row],[Total Contract Hours]]/Table39[[#This Row],[Total Hours Nurse Staffing]]</f>
        <v>0.27578946315147723</v>
      </c>
      <c r="I17" s="3">
        <f>SUM(Table39[[#This Row],[RN Hours]], Table39[[#This Row],[RN Admin Hours]], Table39[[#This Row],[RN DON Hours]])</f>
        <v>29.33411111111111</v>
      </c>
      <c r="J17" s="3">
        <f t="shared" si="1"/>
        <v>3.1194444444444445</v>
      </c>
      <c r="K17" s="4">
        <f>Table39[[#This Row],[RN Hours Contract (W/ Admin, DON)]]/Table39[[#This Row],[RN Hours (w/ Admin, DON)]]</f>
        <v>0.10634187729870799</v>
      </c>
      <c r="L17" s="3">
        <v>20.020222222222223</v>
      </c>
      <c r="M17" s="3">
        <v>3.1194444444444445</v>
      </c>
      <c r="N17" s="4">
        <f>Table39[[#This Row],[RN Hours Contract]]/Table39[[#This Row],[RN Hours]]</f>
        <v>0.15581467627176965</v>
      </c>
      <c r="O17" s="3">
        <v>6.2027777777777775</v>
      </c>
      <c r="P17" s="3">
        <v>0</v>
      </c>
      <c r="Q17" s="4">
        <f>Table39[[#This Row],[RN Admin Hours Contract]]/Table39[[#This Row],[RN Admin Hours]]</f>
        <v>0</v>
      </c>
      <c r="R17" s="3">
        <v>3.1111111111111112</v>
      </c>
      <c r="S17" s="3">
        <v>0</v>
      </c>
      <c r="T17" s="4">
        <f>Table39[[#This Row],[RN DON Hours Contract]]/Table39[[#This Row],[RN DON Hours]]</f>
        <v>0</v>
      </c>
      <c r="U17" s="3">
        <f>SUM(Table39[[#This Row],[LPN Hours]], Table39[[#This Row],[LPN Admin Hours]])</f>
        <v>95.48255555555555</v>
      </c>
      <c r="V17" s="3">
        <f>Table39[[#This Row],[LPN Hours Contract]]+Table39[[#This Row],[LPN Admin Hours Contract]]</f>
        <v>24.786111111111111</v>
      </c>
      <c r="W17" s="4">
        <f t="shared" si="2"/>
        <v>0.25958784792568279</v>
      </c>
      <c r="X17" s="3">
        <v>80.586444444444439</v>
      </c>
      <c r="Y17" s="3">
        <v>24.786111111111111</v>
      </c>
      <c r="Z17" s="4">
        <f>Table39[[#This Row],[LPN Hours Contract]]/Table39[[#This Row],[LPN Hours]]</f>
        <v>0.30757171732770056</v>
      </c>
      <c r="AA17" s="3">
        <v>14.896111111111113</v>
      </c>
      <c r="AB17" s="3">
        <v>0</v>
      </c>
      <c r="AC17" s="4">
        <f>Table39[[#This Row],[LPN Admin Hours Contract]]/Table39[[#This Row],[LPN Admin Hours]]</f>
        <v>0</v>
      </c>
      <c r="AD17" s="3">
        <f>SUM(Table39[[#This Row],[CNA Hours]], Table39[[#This Row],[NA in Training Hours]], Table39[[#This Row],[Med Aide/Tech Hours]])</f>
        <v>186.10488888888889</v>
      </c>
      <c r="AE17" s="3">
        <f>SUM(Table39[[#This Row],[CNA Hours Contract]], Table39[[#This Row],[NA in Training Hours Contract]], Table39[[#This Row],[Med Aide/Tech Hours Contract]])</f>
        <v>57.84333333333332</v>
      </c>
      <c r="AF17" s="4">
        <f>Table39[[#This Row],[CNA/NA/Med Aide Contract Hours]]/Table39[[#This Row],[Total CNA, NA in Training, Med Aide/Tech Hours]]</f>
        <v>0.31081039127278276</v>
      </c>
      <c r="AG17" s="3">
        <v>164.77500000000001</v>
      </c>
      <c r="AH17" s="3">
        <v>57.226666666666652</v>
      </c>
      <c r="AI17" s="4">
        <f>Table39[[#This Row],[CNA Hours Contract]]/Table39[[#This Row],[CNA Hours]]</f>
        <v>0.34730187629595904</v>
      </c>
      <c r="AJ17" s="3">
        <v>11.201111111111111</v>
      </c>
      <c r="AK17" s="3">
        <v>0</v>
      </c>
      <c r="AL17" s="4">
        <f>Table39[[#This Row],[NA in Training Hours Contract]]/Table39[[#This Row],[NA in Training Hours]]</f>
        <v>0</v>
      </c>
      <c r="AM17" s="3">
        <v>10.128777777777778</v>
      </c>
      <c r="AN17" s="3">
        <v>0.6166666666666667</v>
      </c>
      <c r="AO17" s="4">
        <f>Table39[[#This Row],[Med Aide/Tech Hours Contract]]/Table39[[#This Row],[Med Aide/Tech Hours]]</f>
        <v>6.0882633640123307E-2</v>
      </c>
      <c r="AP17" s="1" t="s">
        <v>15</v>
      </c>
      <c r="AQ17" s="1">
        <v>10</v>
      </c>
    </row>
    <row r="18" spans="1:43" x14ac:dyDescent="0.2">
      <c r="A18" s="1" t="s">
        <v>128</v>
      </c>
      <c r="B18" s="1" t="s">
        <v>145</v>
      </c>
      <c r="C18" s="1" t="s">
        <v>285</v>
      </c>
      <c r="D18" s="1" t="s">
        <v>338</v>
      </c>
      <c r="E18" s="3">
        <v>41.411111111111111</v>
      </c>
      <c r="F18" s="3">
        <f t="shared" si="0"/>
        <v>207.18655555555554</v>
      </c>
      <c r="G18" s="3">
        <f>SUM(Table39[[#This Row],[RN Hours Contract (W/ Admin, DON)]], Table39[[#This Row],[LPN Contract Hours (w/ Admin)]], Table39[[#This Row],[CNA/NA/Med Aide Contract Hours]])</f>
        <v>1.5627777777777778</v>
      </c>
      <c r="H18" s="4">
        <f>Table39[[#This Row],[Total Contract Hours]]/Table39[[#This Row],[Total Hours Nurse Staffing]]</f>
        <v>7.5428532203129879E-3</v>
      </c>
      <c r="I18" s="3">
        <f>SUM(Table39[[#This Row],[RN Hours]], Table39[[#This Row],[RN Admin Hours]], Table39[[#This Row],[RN DON Hours]])</f>
        <v>54.022888888888893</v>
      </c>
      <c r="J18" s="3">
        <f t="shared" si="1"/>
        <v>1.5627777777777778</v>
      </c>
      <c r="K18" s="4">
        <f>Table39[[#This Row],[RN Hours Contract (W/ Admin, DON)]]/Table39[[#This Row],[RN Hours (w/ Admin, DON)]]</f>
        <v>2.8928067526933027E-2</v>
      </c>
      <c r="L18" s="3">
        <v>35.022444444444446</v>
      </c>
      <c r="M18" s="3">
        <v>1.5627777777777778</v>
      </c>
      <c r="N18" s="4">
        <f>Table39[[#This Row],[RN Hours Contract]]/Table39[[#This Row],[RN Hours]]</f>
        <v>4.4622178793281765E-2</v>
      </c>
      <c r="O18" s="3">
        <v>16.067111111111117</v>
      </c>
      <c r="P18" s="3">
        <v>0</v>
      </c>
      <c r="Q18" s="4">
        <f>Table39[[#This Row],[RN Admin Hours Contract]]/Table39[[#This Row],[RN Admin Hours]]</f>
        <v>0</v>
      </c>
      <c r="R18" s="3">
        <v>2.9333333333333331</v>
      </c>
      <c r="S18" s="3">
        <v>0</v>
      </c>
      <c r="T18" s="4">
        <f>Table39[[#This Row],[RN DON Hours Contract]]/Table39[[#This Row],[RN DON Hours]]</f>
        <v>0</v>
      </c>
      <c r="U18" s="3">
        <f>SUM(Table39[[#This Row],[LPN Hours]], Table39[[#This Row],[LPN Admin Hours]])</f>
        <v>32.721333333333334</v>
      </c>
      <c r="V18" s="3">
        <f>Table39[[#This Row],[LPN Hours Contract]]+Table39[[#This Row],[LPN Admin Hours Contract]]</f>
        <v>0</v>
      </c>
      <c r="W18" s="4">
        <f t="shared" si="2"/>
        <v>0</v>
      </c>
      <c r="X18" s="3">
        <v>30.443555555555555</v>
      </c>
      <c r="Y18" s="3">
        <v>0</v>
      </c>
      <c r="Z18" s="4">
        <f>Table39[[#This Row],[LPN Hours Contract]]/Table39[[#This Row],[LPN Hours]]</f>
        <v>0</v>
      </c>
      <c r="AA18" s="3">
        <v>2.2777777777777777</v>
      </c>
      <c r="AB18" s="3">
        <v>0</v>
      </c>
      <c r="AC18" s="4">
        <f>Table39[[#This Row],[LPN Admin Hours Contract]]/Table39[[#This Row],[LPN Admin Hours]]</f>
        <v>0</v>
      </c>
      <c r="AD18" s="3">
        <f>SUM(Table39[[#This Row],[CNA Hours]], Table39[[#This Row],[NA in Training Hours]], Table39[[#This Row],[Med Aide/Tech Hours]])</f>
        <v>120.44233333333332</v>
      </c>
      <c r="AE18" s="3">
        <f>SUM(Table39[[#This Row],[CNA Hours Contract]], Table39[[#This Row],[NA in Training Hours Contract]], Table39[[#This Row],[Med Aide/Tech Hours Contract]])</f>
        <v>0</v>
      </c>
      <c r="AF18" s="4">
        <f>Table39[[#This Row],[CNA/NA/Med Aide Contract Hours]]/Table39[[#This Row],[Total CNA, NA in Training, Med Aide/Tech Hours]]</f>
        <v>0</v>
      </c>
      <c r="AG18" s="3">
        <v>120.44233333333332</v>
      </c>
      <c r="AH18" s="3">
        <v>0</v>
      </c>
      <c r="AI18" s="4">
        <f>Table39[[#This Row],[CNA Hours Contract]]/Table39[[#This Row],[CNA Hours]]</f>
        <v>0</v>
      </c>
      <c r="AJ18" s="3">
        <v>0</v>
      </c>
      <c r="AK18" s="3">
        <v>0</v>
      </c>
      <c r="AL18" s="4">
        <v>0</v>
      </c>
      <c r="AM18" s="3">
        <v>0</v>
      </c>
      <c r="AN18" s="3">
        <v>0</v>
      </c>
      <c r="AO18" s="4">
        <v>0</v>
      </c>
      <c r="AP18" s="1" t="s">
        <v>16</v>
      </c>
      <c r="AQ18" s="1">
        <v>10</v>
      </c>
    </row>
    <row r="19" spans="1:43" x14ac:dyDescent="0.2">
      <c r="A19" s="1" t="s">
        <v>128</v>
      </c>
      <c r="B19" s="1" t="s">
        <v>146</v>
      </c>
      <c r="C19" s="1" t="s">
        <v>265</v>
      </c>
      <c r="D19" s="1" t="s">
        <v>331</v>
      </c>
      <c r="E19" s="3">
        <v>57.133333333333333</v>
      </c>
      <c r="F19" s="3">
        <f t="shared" si="0"/>
        <v>246.06244444444445</v>
      </c>
      <c r="G19" s="3">
        <f>SUM(Table39[[#This Row],[RN Hours Contract (W/ Admin, DON)]], Table39[[#This Row],[LPN Contract Hours (w/ Admin)]], Table39[[#This Row],[CNA/NA/Med Aide Contract Hours]])</f>
        <v>0</v>
      </c>
      <c r="H19" s="4">
        <f>Table39[[#This Row],[Total Contract Hours]]/Table39[[#This Row],[Total Hours Nurse Staffing]]</f>
        <v>0</v>
      </c>
      <c r="I19" s="3">
        <f>SUM(Table39[[#This Row],[RN Hours]], Table39[[#This Row],[RN Admin Hours]], Table39[[#This Row],[RN DON Hours]])</f>
        <v>34.039111111111112</v>
      </c>
      <c r="J19" s="3">
        <f t="shared" si="1"/>
        <v>0</v>
      </c>
      <c r="K19" s="4">
        <f>Table39[[#This Row],[RN Hours Contract (W/ Admin, DON)]]/Table39[[#This Row],[RN Hours (w/ Admin, DON)]]</f>
        <v>0</v>
      </c>
      <c r="L19" s="3">
        <v>12.762111111111111</v>
      </c>
      <c r="M19" s="3">
        <v>0</v>
      </c>
      <c r="N19" s="4">
        <f>Table39[[#This Row],[RN Hours Contract]]/Table39[[#This Row],[RN Hours]]</f>
        <v>0</v>
      </c>
      <c r="O19" s="3">
        <v>15.838111111111115</v>
      </c>
      <c r="P19" s="3">
        <v>0</v>
      </c>
      <c r="Q19" s="4">
        <f>Table39[[#This Row],[RN Admin Hours Contract]]/Table39[[#This Row],[RN Admin Hours]]</f>
        <v>0</v>
      </c>
      <c r="R19" s="3">
        <v>5.4388888888888891</v>
      </c>
      <c r="S19" s="3">
        <v>0</v>
      </c>
      <c r="T19" s="4">
        <f>Table39[[#This Row],[RN DON Hours Contract]]/Table39[[#This Row],[RN DON Hours]]</f>
        <v>0</v>
      </c>
      <c r="U19" s="3">
        <f>SUM(Table39[[#This Row],[LPN Hours]], Table39[[#This Row],[LPN Admin Hours]])</f>
        <v>37.560111111111112</v>
      </c>
      <c r="V19" s="3">
        <f>Table39[[#This Row],[LPN Hours Contract]]+Table39[[#This Row],[LPN Admin Hours Contract]]</f>
        <v>0</v>
      </c>
      <c r="W19" s="4">
        <f t="shared" si="2"/>
        <v>0</v>
      </c>
      <c r="X19" s="3">
        <v>37.471222222222224</v>
      </c>
      <c r="Y19" s="3">
        <v>0</v>
      </c>
      <c r="Z19" s="4">
        <f>Table39[[#This Row],[LPN Hours Contract]]/Table39[[#This Row],[LPN Hours]]</f>
        <v>0</v>
      </c>
      <c r="AA19" s="3">
        <v>8.8888888888888892E-2</v>
      </c>
      <c r="AB19" s="3">
        <v>0</v>
      </c>
      <c r="AC19" s="4">
        <f>Table39[[#This Row],[LPN Admin Hours Contract]]/Table39[[#This Row],[LPN Admin Hours]]</f>
        <v>0</v>
      </c>
      <c r="AD19" s="3">
        <f>SUM(Table39[[#This Row],[CNA Hours]], Table39[[#This Row],[NA in Training Hours]], Table39[[#This Row],[Med Aide/Tech Hours]])</f>
        <v>174.46322222222224</v>
      </c>
      <c r="AE19" s="3">
        <f>SUM(Table39[[#This Row],[CNA Hours Contract]], Table39[[#This Row],[NA in Training Hours Contract]], Table39[[#This Row],[Med Aide/Tech Hours Contract]])</f>
        <v>0</v>
      </c>
      <c r="AF19" s="4">
        <f>Table39[[#This Row],[CNA/NA/Med Aide Contract Hours]]/Table39[[#This Row],[Total CNA, NA in Training, Med Aide/Tech Hours]]</f>
        <v>0</v>
      </c>
      <c r="AG19" s="3">
        <v>136.96344444444443</v>
      </c>
      <c r="AH19" s="3">
        <v>0</v>
      </c>
      <c r="AI19" s="4">
        <f>Table39[[#This Row],[CNA Hours Contract]]/Table39[[#This Row],[CNA Hours]]</f>
        <v>0</v>
      </c>
      <c r="AJ19" s="3">
        <v>22.103111111111122</v>
      </c>
      <c r="AK19" s="3">
        <v>0</v>
      </c>
      <c r="AL19" s="4">
        <f>Table39[[#This Row],[NA in Training Hours Contract]]/Table39[[#This Row],[NA in Training Hours]]</f>
        <v>0</v>
      </c>
      <c r="AM19" s="3">
        <v>15.39666666666667</v>
      </c>
      <c r="AN19" s="3">
        <v>0</v>
      </c>
      <c r="AO19" s="4">
        <f>Table39[[#This Row],[Med Aide/Tech Hours Contract]]/Table39[[#This Row],[Med Aide/Tech Hours]]</f>
        <v>0</v>
      </c>
      <c r="AP19" s="1" t="s">
        <v>17</v>
      </c>
      <c r="AQ19" s="1">
        <v>10</v>
      </c>
    </row>
    <row r="20" spans="1:43" x14ac:dyDescent="0.2">
      <c r="A20" s="1" t="s">
        <v>128</v>
      </c>
      <c r="B20" s="1" t="s">
        <v>147</v>
      </c>
      <c r="C20" s="1" t="s">
        <v>263</v>
      </c>
      <c r="D20" s="1" t="s">
        <v>334</v>
      </c>
      <c r="E20" s="3">
        <v>87.288888888888891</v>
      </c>
      <c r="F20" s="3">
        <f t="shared" si="0"/>
        <v>448.89444444444445</v>
      </c>
      <c r="G20" s="3">
        <f>SUM(Table39[[#This Row],[RN Hours Contract (W/ Admin, DON)]], Table39[[#This Row],[LPN Contract Hours (w/ Admin)]], Table39[[#This Row],[CNA/NA/Med Aide Contract Hours]])</f>
        <v>15.43611111111111</v>
      </c>
      <c r="H20" s="4">
        <f>Table39[[#This Row],[Total Contract Hours]]/Table39[[#This Row],[Total Hours Nurse Staffing]]</f>
        <v>3.4386950656551278E-2</v>
      </c>
      <c r="I20" s="3">
        <f>SUM(Table39[[#This Row],[RN Hours]], Table39[[#This Row],[RN Admin Hours]], Table39[[#This Row],[RN DON Hours]])</f>
        <v>102.20277777777777</v>
      </c>
      <c r="J20" s="3">
        <f t="shared" si="1"/>
        <v>0</v>
      </c>
      <c r="K20" s="4">
        <f>Table39[[#This Row],[RN Hours Contract (W/ Admin, DON)]]/Table39[[#This Row],[RN Hours (w/ Admin, DON)]]</f>
        <v>0</v>
      </c>
      <c r="L20" s="3">
        <v>91.455555555555549</v>
      </c>
      <c r="M20" s="3">
        <v>0</v>
      </c>
      <c r="N20" s="4">
        <f>Table39[[#This Row],[RN Hours Contract]]/Table39[[#This Row],[RN Hours]]</f>
        <v>0</v>
      </c>
      <c r="O20" s="3">
        <v>5.3250000000000002</v>
      </c>
      <c r="P20" s="3">
        <v>0</v>
      </c>
      <c r="Q20" s="4">
        <f>Table39[[#This Row],[RN Admin Hours Contract]]/Table39[[#This Row],[RN Admin Hours]]</f>
        <v>0</v>
      </c>
      <c r="R20" s="3">
        <v>5.4222222222222225</v>
      </c>
      <c r="S20" s="3">
        <v>0</v>
      </c>
      <c r="T20" s="4">
        <f>Table39[[#This Row],[RN DON Hours Contract]]/Table39[[#This Row],[RN DON Hours]]</f>
        <v>0</v>
      </c>
      <c r="U20" s="3">
        <f>SUM(Table39[[#This Row],[LPN Hours]], Table39[[#This Row],[LPN Admin Hours]])</f>
        <v>58.583333333333329</v>
      </c>
      <c r="V20" s="3">
        <f>Table39[[#This Row],[LPN Hours Contract]]+Table39[[#This Row],[LPN Admin Hours Contract]]</f>
        <v>2.1444444444444444</v>
      </c>
      <c r="W20" s="4">
        <f t="shared" si="2"/>
        <v>3.6605026078710294E-2</v>
      </c>
      <c r="X20" s="3">
        <v>53.980555555555554</v>
      </c>
      <c r="Y20" s="3">
        <v>2.1444444444444444</v>
      </c>
      <c r="Z20" s="4">
        <f>Table39[[#This Row],[LPN Hours Contract]]/Table39[[#This Row],[LPN Hours]]</f>
        <v>3.972623887202182E-2</v>
      </c>
      <c r="AA20" s="3">
        <v>4.6027777777777779</v>
      </c>
      <c r="AB20" s="3">
        <v>0</v>
      </c>
      <c r="AC20" s="4">
        <f>Table39[[#This Row],[LPN Admin Hours Contract]]/Table39[[#This Row],[LPN Admin Hours]]</f>
        <v>0</v>
      </c>
      <c r="AD20" s="3">
        <f>SUM(Table39[[#This Row],[CNA Hours]], Table39[[#This Row],[NA in Training Hours]], Table39[[#This Row],[Med Aide/Tech Hours]])</f>
        <v>288.10833333333335</v>
      </c>
      <c r="AE20" s="3">
        <f>SUM(Table39[[#This Row],[CNA Hours Contract]], Table39[[#This Row],[NA in Training Hours Contract]], Table39[[#This Row],[Med Aide/Tech Hours Contract]])</f>
        <v>13.291666666666666</v>
      </c>
      <c r="AF20" s="4">
        <f>Table39[[#This Row],[CNA/NA/Med Aide Contract Hours]]/Table39[[#This Row],[Total CNA, NA in Training, Med Aide/Tech Hours]]</f>
        <v>4.6134266624244351E-2</v>
      </c>
      <c r="AG20" s="3">
        <v>222.80833333333334</v>
      </c>
      <c r="AH20" s="3">
        <v>13.291666666666666</v>
      </c>
      <c r="AI20" s="4">
        <f>Table39[[#This Row],[CNA Hours Contract]]/Table39[[#This Row],[CNA Hours]]</f>
        <v>5.9655159516774504E-2</v>
      </c>
      <c r="AJ20" s="3">
        <v>35.125</v>
      </c>
      <c r="AK20" s="3">
        <v>0</v>
      </c>
      <c r="AL20" s="4">
        <f>Table39[[#This Row],[NA in Training Hours Contract]]/Table39[[#This Row],[NA in Training Hours]]</f>
        <v>0</v>
      </c>
      <c r="AM20" s="3">
        <v>30.175000000000001</v>
      </c>
      <c r="AN20" s="3">
        <v>0</v>
      </c>
      <c r="AO20" s="4">
        <f>Table39[[#This Row],[Med Aide/Tech Hours Contract]]/Table39[[#This Row],[Med Aide/Tech Hours]]</f>
        <v>0</v>
      </c>
      <c r="AP20" s="1" t="s">
        <v>18</v>
      </c>
      <c r="AQ20" s="1">
        <v>10</v>
      </c>
    </row>
    <row r="21" spans="1:43" x14ac:dyDescent="0.2">
      <c r="A21" s="1" t="s">
        <v>128</v>
      </c>
      <c r="B21" s="1" t="s">
        <v>148</v>
      </c>
      <c r="C21" s="1" t="s">
        <v>274</v>
      </c>
      <c r="D21" s="1" t="s">
        <v>329</v>
      </c>
      <c r="E21" s="3">
        <v>20.422222222222221</v>
      </c>
      <c r="F21" s="3">
        <f t="shared" si="0"/>
        <v>100.55833333333334</v>
      </c>
      <c r="G21" s="3">
        <f>SUM(Table39[[#This Row],[RN Hours Contract (W/ Admin, DON)]], Table39[[#This Row],[LPN Contract Hours (w/ Admin)]], Table39[[#This Row],[CNA/NA/Med Aide Contract Hours]])</f>
        <v>24.905555555555555</v>
      </c>
      <c r="H21" s="4">
        <f>Table39[[#This Row],[Total Contract Hours]]/Table39[[#This Row],[Total Hours Nurse Staffing]]</f>
        <v>0.24767271622330872</v>
      </c>
      <c r="I21" s="3">
        <f>SUM(Table39[[#This Row],[RN Hours]], Table39[[#This Row],[RN Admin Hours]], Table39[[#This Row],[RN DON Hours]])</f>
        <v>38.158333333333331</v>
      </c>
      <c r="J21" s="3">
        <f t="shared" si="1"/>
        <v>9.5416666666666661</v>
      </c>
      <c r="K21" s="4">
        <f>Table39[[#This Row],[RN Hours Contract (W/ Admin, DON)]]/Table39[[#This Row],[RN Hours (w/ Admin, DON)]]</f>
        <v>0.25005459707359684</v>
      </c>
      <c r="L21" s="3">
        <v>25.172222222222221</v>
      </c>
      <c r="M21" s="3">
        <v>9.5416666666666661</v>
      </c>
      <c r="N21" s="4">
        <f>Table39[[#This Row],[RN Hours Contract]]/Table39[[#This Row],[RN Hours]]</f>
        <v>0.37905539615978812</v>
      </c>
      <c r="O21" s="3">
        <v>7.2333333333333334</v>
      </c>
      <c r="P21" s="3">
        <v>0</v>
      </c>
      <c r="Q21" s="4">
        <f>Table39[[#This Row],[RN Admin Hours Contract]]/Table39[[#This Row],[RN Admin Hours]]</f>
        <v>0</v>
      </c>
      <c r="R21" s="3">
        <v>5.7527777777777782</v>
      </c>
      <c r="S21" s="3">
        <v>0</v>
      </c>
      <c r="T21" s="4">
        <f>Table39[[#This Row],[RN DON Hours Contract]]/Table39[[#This Row],[RN DON Hours]]</f>
        <v>0</v>
      </c>
      <c r="U21" s="3">
        <f>SUM(Table39[[#This Row],[LPN Hours]], Table39[[#This Row],[LPN Admin Hours]])</f>
        <v>4.6583333333333332</v>
      </c>
      <c r="V21" s="3">
        <f>Table39[[#This Row],[LPN Hours Contract]]+Table39[[#This Row],[LPN Admin Hours Contract]]</f>
        <v>0</v>
      </c>
      <c r="W21" s="4">
        <f t="shared" si="2"/>
        <v>0</v>
      </c>
      <c r="X21" s="3">
        <v>0</v>
      </c>
      <c r="Y21" s="3">
        <v>0</v>
      </c>
      <c r="Z21" s="4">
        <v>0</v>
      </c>
      <c r="AA21" s="3">
        <v>4.6583333333333332</v>
      </c>
      <c r="AB21" s="3">
        <v>0</v>
      </c>
      <c r="AC21" s="4">
        <f>Table39[[#This Row],[LPN Admin Hours Contract]]/Table39[[#This Row],[LPN Admin Hours]]</f>
        <v>0</v>
      </c>
      <c r="AD21" s="3">
        <f>SUM(Table39[[#This Row],[CNA Hours]], Table39[[#This Row],[NA in Training Hours]], Table39[[#This Row],[Med Aide/Tech Hours]])</f>
        <v>57.741666666666667</v>
      </c>
      <c r="AE21" s="3">
        <f>SUM(Table39[[#This Row],[CNA Hours Contract]], Table39[[#This Row],[NA in Training Hours Contract]], Table39[[#This Row],[Med Aide/Tech Hours Contract]])</f>
        <v>15.363888888888889</v>
      </c>
      <c r="AF21" s="4">
        <f>Table39[[#This Row],[CNA/NA/Med Aide Contract Hours]]/Table39[[#This Row],[Total CNA, NA in Training, Med Aide/Tech Hours]]</f>
        <v>0.26607976138932987</v>
      </c>
      <c r="AG21" s="3">
        <v>57.741666666666667</v>
      </c>
      <c r="AH21" s="3">
        <v>15.363888888888889</v>
      </c>
      <c r="AI21" s="4">
        <f>Table39[[#This Row],[CNA Hours Contract]]/Table39[[#This Row],[CNA Hours]]</f>
        <v>0.26607976138932987</v>
      </c>
      <c r="AJ21" s="3">
        <v>0</v>
      </c>
      <c r="AK21" s="3">
        <v>0</v>
      </c>
      <c r="AL21" s="4">
        <v>0</v>
      </c>
      <c r="AM21" s="3">
        <v>0</v>
      </c>
      <c r="AN21" s="3">
        <v>0</v>
      </c>
      <c r="AO21" s="4">
        <v>0</v>
      </c>
      <c r="AP21" s="1" t="s">
        <v>19</v>
      </c>
      <c r="AQ21" s="1">
        <v>10</v>
      </c>
    </row>
    <row r="22" spans="1:43" x14ac:dyDescent="0.2">
      <c r="A22" s="1" t="s">
        <v>128</v>
      </c>
      <c r="B22" s="1" t="s">
        <v>149</v>
      </c>
      <c r="C22" s="1" t="s">
        <v>272</v>
      </c>
      <c r="D22" s="1" t="s">
        <v>322</v>
      </c>
      <c r="E22" s="3">
        <v>44.966666666666669</v>
      </c>
      <c r="F22" s="3">
        <f t="shared" si="0"/>
        <v>222.98477777777779</v>
      </c>
      <c r="G22" s="3">
        <f>SUM(Table39[[#This Row],[RN Hours Contract (W/ Admin, DON)]], Table39[[#This Row],[LPN Contract Hours (w/ Admin)]], Table39[[#This Row],[CNA/NA/Med Aide Contract Hours]])</f>
        <v>0.84444444444444433</v>
      </c>
      <c r="H22" s="4">
        <f>Table39[[#This Row],[Total Contract Hours]]/Table39[[#This Row],[Total Hours Nurse Staffing]]</f>
        <v>3.7870048927106624E-3</v>
      </c>
      <c r="I22" s="3">
        <f>SUM(Table39[[#This Row],[RN Hours]], Table39[[#This Row],[RN Admin Hours]], Table39[[#This Row],[RN DON Hours]])</f>
        <v>32.927555555555557</v>
      </c>
      <c r="J22" s="3">
        <f t="shared" si="1"/>
        <v>0</v>
      </c>
      <c r="K22" s="4">
        <f>Table39[[#This Row],[RN Hours Contract (W/ Admin, DON)]]/Table39[[#This Row],[RN Hours (w/ Admin, DON)]]</f>
        <v>0</v>
      </c>
      <c r="L22" s="3">
        <v>12.640777777777778</v>
      </c>
      <c r="M22" s="3">
        <v>0</v>
      </c>
      <c r="N22" s="4">
        <f>Table39[[#This Row],[RN Hours Contract]]/Table39[[#This Row],[RN Hours]]</f>
        <v>0</v>
      </c>
      <c r="O22" s="3">
        <v>15.753444444444444</v>
      </c>
      <c r="P22" s="3">
        <v>0</v>
      </c>
      <c r="Q22" s="4">
        <f>Table39[[#This Row],[RN Admin Hours Contract]]/Table39[[#This Row],[RN Admin Hours]]</f>
        <v>0</v>
      </c>
      <c r="R22" s="3">
        <v>4.5333333333333332</v>
      </c>
      <c r="S22" s="3">
        <v>0</v>
      </c>
      <c r="T22" s="4">
        <f>Table39[[#This Row],[RN DON Hours Contract]]/Table39[[#This Row],[RN DON Hours]]</f>
        <v>0</v>
      </c>
      <c r="U22" s="3">
        <f>SUM(Table39[[#This Row],[LPN Hours]], Table39[[#This Row],[LPN Admin Hours]])</f>
        <v>66.443666666666672</v>
      </c>
      <c r="V22" s="3">
        <f>Table39[[#This Row],[LPN Hours Contract]]+Table39[[#This Row],[LPN Admin Hours Contract]]</f>
        <v>0.33055555555555555</v>
      </c>
      <c r="W22" s="4">
        <f t="shared" si="2"/>
        <v>4.9749746234487692E-3</v>
      </c>
      <c r="X22" s="3">
        <v>60.93611111111111</v>
      </c>
      <c r="Y22" s="3">
        <v>0.33055555555555555</v>
      </c>
      <c r="Z22" s="4">
        <f>Table39[[#This Row],[LPN Hours Contract]]/Table39[[#This Row],[LPN Hours]]</f>
        <v>5.4246250626794916E-3</v>
      </c>
      <c r="AA22" s="3">
        <v>5.5075555555555553</v>
      </c>
      <c r="AB22" s="3">
        <v>0</v>
      </c>
      <c r="AC22" s="4">
        <f>Table39[[#This Row],[LPN Admin Hours Contract]]/Table39[[#This Row],[LPN Admin Hours]]</f>
        <v>0</v>
      </c>
      <c r="AD22" s="3">
        <f>SUM(Table39[[#This Row],[CNA Hours]], Table39[[#This Row],[NA in Training Hours]], Table39[[#This Row],[Med Aide/Tech Hours]])</f>
        <v>123.61355555555556</v>
      </c>
      <c r="AE22" s="3">
        <f>SUM(Table39[[#This Row],[CNA Hours Contract]], Table39[[#This Row],[NA in Training Hours Contract]], Table39[[#This Row],[Med Aide/Tech Hours Contract]])</f>
        <v>0.51388888888888884</v>
      </c>
      <c r="AF22" s="4">
        <f>Table39[[#This Row],[CNA/NA/Med Aide Contract Hours]]/Table39[[#This Row],[Total CNA, NA in Training, Med Aide/Tech Hours]]</f>
        <v>4.1572211605703071E-3</v>
      </c>
      <c r="AG22" s="3">
        <v>100.49644444444445</v>
      </c>
      <c r="AH22" s="3">
        <v>0.51388888888888884</v>
      </c>
      <c r="AI22" s="4">
        <f>Table39[[#This Row],[CNA Hours Contract]]/Table39[[#This Row],[CNA Hours]]</f>
        <v>5.1135031864034987E-3</v>
      </c>
      <c r="AJ22" s="3">
        <v>20.098666666666666</v>
      </c>
      <c r="AK22" s="3">
        <v>0</v>
      </c>
      <c r="AL22" s="4">
        <f>Table39[[#This Row],[NA in Training Hours Contract]]/Table39[[#This Row],[NA in Training Hours]]</f>
        <v>0</v>
      </c>
      <c r="AM22" s="3">
        <v>3.018444444444444</v>
      </c>
      <c r="AN22" s="3">
        <v>0</v>
      </c>
      <c r="AO22" s="4">
        <f>Table39[[#This Row],[Med Aide/Tech Hours Contract]]/Table39[[#This Row],[Med Aide/Tech Hours]]</f>
        <v>0</v>
      </c>
      <c r="AP22" s="1" t="s">
        <v>20</v>
      </c>
      <c r="AQ22" s="1">
        <v>10</v>
      </c>
    </row>
    <row r="23" spans="1:43" x14ac:dyDescent="0.2">
      <c r="A23" s="1" t="s">
        <v>128</v>
      </c>
      <c r="B23" s="1" t="s">
        <v>150</v>
      </c>
      <c r="C23" s="1" t="s">
        <v>281</v>
      </c>
      <c r="D23" s="1" t="s">
        <v>335</v>
      </c>
      <c r="E23" s="3">
        <v>54.833333333333336</v>
      </c>
      <c r="F23" s="3">
        <f t="shared" si="0"/>
        <v>245.68711111111111</v>
      </c>
      <c r="G23" s="3">
        <f>SUM(Table39[[#This Row],[RN Hours Contract (W/ Admin, DON)]], Table39[[#This Row],[LPN Contract Hours (w/ Admin)]], Table39[[#This Row],[CNA/NA/Med Aide Contract Hours]])</f>
        <v>18.042999999999999</v>
      </c>
      <c r="H23" s="4">
        <f>Table39[[#This Row],[Total Contract Hours]]/Table39[[#This Row],[Total Hours Nurse Staffing]]</f>
        <v>7.3438935882314635E-2</v>
      </c>
      <c r="I23" s="3">
        <f>SUM(Table39[[#This Row],[RN Hours]], Table39[[#This Row],[RN Admin Hours]], Table39[[#This Row],[RN DON Hours]])</f>
        <v>25.825666666666667</v>
      </c>
      <c r="J23" s="3">
        <f t="shared" si="1"/>
        <v>0</v>
      </c>
      <c r="K23" s="4">
        <f>Table39[[#This Row],[RN Hours Contract (W/ Admin, DON)]]/Table39[[#This Row],[RN Hours (w/ Admin, DON)]]</f>
        <v>0</v>
      </c>
      <c r="L23" s="3">
        <v>16.256333333333334</v>
      </c>
      <c r="M23" s="3">
        <v>0</v>
      </c>
      <c r="N23" s="4">
        <f>Table39[[#This Row],[RN Hours Contract]]/Table39[[#This Row],[RN Hours]]</f>
        <v>0</v>
      </c>
      <c r="O23" s="3">
        <v>4.6804444444444435</v>
      </c>
      <c r="P23" s="3">
        <v>0</v>
      </c>
      <c r="Q23" s="4">
        <f>Table39[[#This Row],[RN Admin Hours Contract]]/Table39[[#This Row],[RN Admin Hours]]</f>
        <v>0</v>
      </c>
      <c r="R23" s="3">
        <v>4.8888888888888893</v>
      </c>
      <c r="S23" s="3">
        <v>0</v>
      </c>
      <c r="T23" s="4">
        <f>Table39[[#This Row],[RN DON Hours Contract]]/Table39[[#This Row],[RN DON Hours]]</f>
        <v>0</v>
      </c>
      <c r="U23" s="3">
        <f>SUM(Table39[[#This Row],[LPN Hours]], Table39[[#This Row],[LPN Admin Hours]])</f>
        <v>77.776888888888891</v>
      </c>
      <c r="V23" s="3">
        <f>Table39[[#This Row],[LPN Hours Contract]]+Table39[[#This Row],[LPN Admin Hours Contract]]</f>
        <v>0</v>
      </c>
      <c r="W23" s="4">
        <f t="shared" si="2"/>
        <v>0</v>
      </c>
      <c r="X23" s="3">
        <v>66.75266666666667</v>
      </c>
      <c r="Y23" s="3">
        <v>0</v>
      </c>
      <c r="Z23" s="4">
        <f>Table39[[#This Row],[LPN Hours Contract]]/Table39[[#This Row],[LPN Hours]]</f>
        <v>0</v>
      </c>
      <c r="AA23" s="3">
        <v>11.024222222222221</v>
      </c>
      <c r="AB23" s="3">
        <v>0</v>
      </c>
      <c r="AC23" s="4">
        <f>Table39[[#This Row],[LPN Admin Hours Contract]]/Table39[[#This Row],[LPN Admin Hours]]</f>
        <v>0</v>
      </c>
      <c r="AD23" s="3">
        <f>SUM(Table39[[#This Row],[CNA Hours]], Table39[[#This Row],[NA in Training Hours]], Table39[[#This Row],[Med Aide/Tech Hours]])</f>
        <v>142.08455555555554</v>
      </c>
      <c r="AE23" s="3">
        <f>SUM(Table39[[#This Row],[CNA Hours Contract]], Table39[[#This Row],[NA in Training Hours Contract]], Table39[[#This Row],[Med Aide/Tech Hours Contract]])</f>
        <v>18.042999999999999</v>
      </c>
      <c r="AF23" s="4">
        <f>Table39[[#This Row],[CNA/NA/Med Aide Contract Hours]]/Table39[[#This Row],[Total CNA, NA in Training, Med Aide/Tech Hours]]</f>
        <v>0.12698776393712352</v>
      </c>
      <c r="AG23" s="3">
        <v>135.36677777777777</v>
      </c>
      <c r="AH23" s="3">
        <v>18.042999999999999</v>
      </c>
      <c r="AI23" s="4">
        <f>Table39[[#This Row],[CNA Hours Contract]]/Table39[[#This Row],[CNA Hours]]</f>
        <v>0.13328972068478973</v>
      </c>
      <c r="AJ23" s="3">
        <v>1.6479999999999999</v>
      </c>
      <c r="AK23" s="3">
        <v>0</v>
      </c>
      <c r="AL23" s="4">
        <f>Table39[[#This Row],[NA in Training Hours Contract]]/Table39[[#This Row],[NA in Training Hours]]</f>
        <v>0</v>
      </c>
      <c r="AM23" s="3">
        <v>5.0697777777777784</v>
      </c>
      <c r="AN23" s="3">
        <v>0</v>
      </c>
      <c r="AO23" s="4">
        <f>Table39[[#This Row],[Med Aide/Tech Hours Contract]]/Table39[[#This Row],[Med Aide/Tech Hours]]</f>
        <v>0</v>
      </c>
      <c r="AP23" s="1" t="s">
        <v>21</v>
      </c>
      <c r="AQ23" s="1">
        <v>10</v>
      </c>
    </row>
    <row r="24" spans="1:43" x14ac:dyDescent="0.2">
      <c r="A24" s="1" t="s">
        <v>128</v>
      </c>
      <c r="B24" s="1" t="s">
        <v>151</v>
      </c>
      <c r="C24" s="1" t="s">
        <v>263</v>
      </c>
      <c r="D24" s="1" t="s">
        <v>334</v>
      </c>
      <c r="E24" s="3">
        <v>66.222222222222229</v>
      </c>
      <c r="F24" s="3">
        <f t="shared" si="0"/>
        <v>451.83100000000002</v>
      </c>
      <c r="G24" s="3">
        <f>SUM(Table39[[#This Row],[RN Hours Contract (W/ Admin, DON)]], Table39[[#This Row],[LPN Contract Hours (w/ Admin)]], Table39[[#This Row],[CNA/NA/Med Aide Contract Hours]])</f>
        <v>5.3166666666666664</v>
      </c>
      <c r="H24" s="4">
        <f>Table39[[#This Row],[Total Contract Hours]]/Table39[[#This Row],[Total Hours Nurse Staffing]]</f>
        <v>1.1766936457805388E-2</v>
      </c>
      <c r="I24" s="3">
        <f>SUM(Table39[[#This Row],[RN Hours]], Table39[[#This Row],[RN Admin Hours]], Table39[[#This Row],[RN DON Hours]])</f>
        <v>38.649555555555558</v>
      </c>
      <c r="J24" s="3">
        <f t="shared" si="1"/>
        <v>0.35</v>
      </c>
      <c r="K24" s="4">
        <f>Table39[[#This Row],[RN Hours Contract (W/ Admin, DON)]]/Table39[[#This Row],[RN Hours (w/ Admin, DON)]]</f>
        <v>9.0557315593682245E-3</v>
      </c>
      <c r="L24" s="3">
        <v>27.055888888888891</v>
      </c>
      <c r="M24" s="3">
        <v>0.35</v>
      </c>
      <c r="N24" s="4">
        <f>Table39[[#This Row],[RN Hours Contract]]/Table39[[#This Row],[RN Hours]]</f>
        <v>1.2936185591142612E-2</v>
      </c>
      <c r="O24" s="3">
        <v>6.3472222222222223</v>
      </c>
      <c r="P24" s="3">
        <v>0</v>
      </c>
      <c r="Q24" s="4">
        <f>Table39[[#This Row],[RN Admin Hours Contract]]/Table39[[#This Row],[RN Admin Hours]]</f>
        <v>0</v>
      </c>
      <c r="R24" s="3">
        <v>5.2464444444444442</v>
      </c>
      <c r="S24" s="3">
        <v>0</v>
      </c>
      <c r="T24" s="4">
        <f>Table39[[#This Row],[RN DON Hours Contract]]/Table39[[#This Row],[RN DON Hours]]</f>
        <v>0</v>
      </c>
      <c r="U24" s="3">
        <f>SUM(Table39[[#This Row],[LPN Hours]], Table39[[#This Row],[LPN Admin Hours]])</f>
        <v>130.73333333333335</v>
      </c>
      <c r="V24" s="3">
        <f>Table39[[#This Row],[LPN Hours Contract]]+Table39[[#This Row],[LPN Admin Hours Contract]]</f>
        <v>2.5694444444444446</v>
      </c>
      <c r="W24" s="4">
        <f t="shared" si="2"/>
        <v>1.9654088050314465E-2</v>
      </c>
      <c r="X24" s="3">
        <v>106.19722222222222</v>
      </c>
      <c r="Y24" s="3">
        <v>2.5694444444444446</v>
      </c>
      <c r="Z24" s="4">
        <f>Table39[[#This Row],[LPN Hours Contract]]/Table39[[#This Row],[LPN Hours]]</f>
        <v>2.4195024979728495E-2</v>
      </c>
      <c r="AA24" s="3">
        <v>24.536111111111111</v>
      </c>
      <c r="AB24" s="3">
        <v>0</v>
      </c>
      <c r="AC24" s="4">
        <f>Table39[[#This Row],[LPN Admin Hours Contract]]/Table39[[#This Row],[LPN Admin Hours]]</f>
        <v>0</v>
      </c>
      <c r="AD24" s="3">
        <f>SUM(Table39[[#This Row],[CNA Hours]], Table39[[#This Row],[NA in Training Hours]], Table39[[#This Row],[Med Aide/Tech Hours]])</f>
        <v>282.44811111111107</v>
      </c>
      <c r="AE24" s="3">
        <f>SUM(Table39[[#This Row],[CNA Hours Contract]], Table39[[#This Row],[NA in Training Hours Contract]], Table39[[#This Row],[Med Aide/Tech Hours Contract]])</f>
        <v>2.3972222222222221</v>
      </c>
      <c r="AF24" s="4">
        <f>Table39[[#This Row],[CNA/NA/Med Aide Contract Hours]]/Table39[[#This Row],[Total CNA, NA in Training, Med Aide/Tech Hours]]</f>
        <v>8.4873013056872212E-3</v>
      </c>
      <c r="AG24" s="3">
        <v>251.54233333333335</v>
      </c>
      <c r="AH24" s="3">
        <v>2.3972222222222221</v>
      </c>
      <c r="AI24" s="4">
        <f>Table39[[#This Row],[CNA Hours Contract]]/Table39[[#This Row],[CNA Hours]]</f>
        <v>9.5300945588571127E-3</v>
      </c>
      <c r="AJ24" s="3">
        <v>15.558333333333334</v>
      </c>
      <c r="AK24" s="3">
        <v>0</v>
      </c>
      <c r="AL24" s="4">
        <f>Table39[[#This Row],[NA in Training Hours Contract]]/Table39[[#This Row],[NA in Training Hours]]</f>
        <v>0</v>
      </c>
      <c r="AM24" s="3">
        <v>15.347444444444445</v>
      </c>
      <c r="AN24" s="3">
        <v>0</v>
      </c>
      <c r="AO24" s="4">
        <f>Table39[[#This Row],[Med Aide/Tech Hours Contract]]/Table39[[#This Row],[Med Aide/Tech Hours]]</f>
        <v>0</v>
      </c>
      <c r="AP24" s="1" t="s">
        <v>22</v>
      </c>
      <c r="AQ24" s="1">
        <v>10</v>
      </c>
    </row>
    <row r="25" spans="1:43" x14ac:dyDescent="0.2">
      <c r="A25" s="1" t="s">
        <v>128</v>
      </c>
      <c r="B25" s="1" t="s">
        <v>152</v>
      </c>
      <c r="C25" s="1" t="s">
        <v>286</v>
      </c>
      <c r="D25" s="1" t="s">
        <v>339</v>
      </c>
      <c r="E25" s="3">
        <v>53.288888888888891</v>
      </c>
      <c r="F25" s="3">
        <f t="shared" si="0"/>
        <v>211.74166666666667</v>
      </c>
      <c r="G25" s="3">
        <f>SUM(Table39[[#This Row],[RN Hours Contract (W/ Admin, DON)]], Table39[[#This Row],[LPN Contract Hours (w/ Admin)]], Table39[[#This Row],[CNA/NA/Med Aide Contract Hours]])</f>
        <v>5.4611111111111112</v>
      </c>
      <c r="H25" s="4">
        <f>Table39[[#This Row],[Total Contract Hours]]/Table39[[#This Row],[Total Hours Nurse Staffing]]</f>
        <v>2.5791386254214385E-2</v>
      </c>
      <c r="I25" s="3">
        <f>SUM(Table39[[#This Row],[RN Hours]], Table39[[#This Row],[RN Admin Hours]], Table39[[#This Row],[RN DON Hours]])</f>
        <v>36.18611111111111</v>
      </c>
      <c r="J25" s="3">
        <f t="shared" si="1"/>
        <v>0</v>
      </c>
      <c r="K25" s="4">
        <f>Table39[[#This Row],[RN Hours Contract (W/ Admin, DON)]]/Table39[[#This Row],[RN Hours (w/ Admin, DON)]]</f>
        <v>0</v>
      </c>
      <c r="L25" s="3">
        <v>25.074999999999999</v>
      </c>
      <c r="M25" s="3">
        <v>0</v>
      </c>
      <c r="N25" s="4">
        <f>Table39[[#This Row],[RN Hours Contract]]/Table39[[#This Row],[RN Hours]]</f>
        <v>0</v>
      </c>
      <c r="O25" s="3">
        <v>5.6</v>
      </c>
      <c r="P25" s="3">
        <v>0</v>
      </c>
      <c r="Q25" s="4">
        <f>Table39[[#This Row],[RN Admin Hours Contract]]/Table39[[#This Row],[RN Admin Hours]]</f>
        <v>0</v>
      </c>
      <c r="R25" s="3">
        <v>5.5111111111111111</v>
      </c>
      <c r="S25" s="3">
        <v>0</v>
      </c>
      <c r="T25" s="4">
        <f>Table39[[#This Row],[RN DON Hours Contract]]/Table39[[#This Row],[RN DON Hours]]</f>
        <v>0</v>
      </c>
      <c r="U25" s="3">
        <f>SUM(Table39[[#This Row],[LPN Hours]], Table39[[#This Row],[LPN Admin Hours]])</f>
        <v>54.352777777777774</v>
      </c>
      <c r="V25" s="3">
        <f>Table39[[#This Row],[LPN Hours Contract]]+Table39[[#This Row],[LPN Admin Hours Contract]]</f>
        <v>0</v>
      </c>
      <c r="W25" s="4">
        <f t="shared" si="2"/>
        <v>0</v>
      </c>
      <c r="X25" s="3">
        <v>54.352777777777774</v>
      </c>
      <c r="Y25" s="3">
        <v>0</v>
      </c>
      <c r="Z25" s="4">
        <f>Table39[[#This Row],[LPN Hours Contract]]/Table39[[#This Row],[LPN Hours]]</f>
        <v>0</v>
      </c>
      <c r="AA25" s="3">
        <v>0</v>
      </c>
      <c r="AB25" s="3">
        <v>0</v>
      </c>
      <c r="AC25" s="4">
        <v>0</v>
      </c>
      <c r="AD25" s="3">
        <f>SUM(Table39[[#This Row],[CNA Hours]], Table39[[#This Row],[NA in Training Hours]], Table39[[#This Row],[Med Aide/Tech Hours]])</f>
        <v>121.20277777777778</v>
      </c>
      <c r="AE25" s="3">
        <f>SUM(Table39[[#This Row],[CNA Hours Contract]], Table39[[#This Row],[NA in Training Hours Contract]], Table39[[#This Row],[Med Aide/Tech Hours Contract]])</f>
        <v>5.4611111111111112</v>
      </c>
      <c r="AF25" s="4">
        <f>Table39[[#This Row],[CNA/NA/Med Aide Contract Hours]]/Table39[[#This Row],[Total CNA, NA in Training, Med Aide/Tech Hours]]</f>
        <v>4.5057639859739186E-2</v>
      </c>
      <c r="AG25" s="3">
        <v>107.38055555555556</v>
      </c>
      <c r="AH25" s="3">
        <v>5.4611111111111112</v>
      </c>
      <c r="AI25" s="4">
        <f>Table39[[#This Row],[CNA Hours Contract]]/Table39[[#This Row],[CNA Hours]]</f>
        <v>5.0857541971699824E-2</v>
      </c>
      <c r="AJ25" s="3">
        <v>0</v>
      </c>
      <c r="AK25" s="3">
        <v>0</v>
      </c>
      <c r="AL25" s="4">
        <v>0</v>
      </c>
      <c r="AM25" s="3">
        <v>13.822222222222223</v>
      </c>
      <c r="AN25" s="3">
        <v>0</v>
      </c>
      <c r="AO25" s="4">
        <f>Table39[[#This Row],[Med Aide/Tech Hours Contract]]/Table39[[#This Row],[Med Aide/Tech Hours]]</f>
        <v>0</v>
      </c>
      <c r="AP25" s="1" t="s">
        <v>23</v>
      </c>
      <c r="AQ25" s="1">
        <v>10</v>
      </c>
    </row>
    <row r="26" spans="1:43" x14ac:dyDescent="0.2">
      <c r="A26" s="1" t="s">
        <v>128</v>
      </c>
      <c r="B26" s="1" t="s">
        <v>153</v>
      </c>
      <c r="C26" s="1" t="s">
        <v>273</v>
      </c>
      <c r="D26" s="1" t="s">
        <v>319</v>
      </c>
      <c r="E26" s="3">
        <v>80.466666666666669</v>
      </c>
      <c r="F26" s="3">
        <f t="shared" si="0"/>
        <v>383.80833333333339</v>
      </c>
      <c r="G26" s="3">
        <f>SUM(Table39[[#This Row],[RN Hours Contract (W/ Admin, DON)]], Table39[[#This Row],[LPN Contract Hours (w/ Admin)]], Table39[[#This Row],[CNA/NA/Med Aide Contract Hours]])</f>
        <v>16.833333333333336</v>
      </c>
      <c r="H26" s="4">
        <f>Table39[[#This Row],[Total Contract Hours]]/Table39[[#This Row],[Total Hours Nurse Staffing]]</f>
        <v>4.3858696832186204E-2</v>
      </c>
      <c r="I26" s="3">
        <f>SUM(Table39[[#This Row],[RN Hours]], Table39[[#This Row],[RN Admin Hours]], Table39[[#This Row],[RN DON Hours]])</f>
        <v>58.43611111111111</v>
      </c>
      <c r="J26" s="3">
        <f t="shared" si="1"/>
        <v>9.3305555555555557</v>
      </c>
      <c r="K26" s="4">
        <f>Table39[[#This Row],[RN Hours Contract (W/ Admin, DON)]]/Table39[[#This Row],[RN Hours (w/ Admin, DON)]]</f>
        <v>0.15967105575890098</v>
      </c>
      <c r="L26" s="3">
        <v>42.258333333333333</v>
      </c>
      <c r="M26" s="3">
        <v>9.3305555555555557</v>
      </c>
      <c r="N26" s="4">
        <f>Table39[[#This Row],[RN Hours Contract]]/Table39[[#This Row],[RN Hours]]</f>
        <v>0.22079800170906463</v>
      </c>
      <c r="O26" s="3">
        <v>10.577777777777778</v>
      </c>
      <c r="P26" s="3">
        <v>0</v>
      </c>
      <c r="Q26" s="4">
        <f>Table39[[#This Row],[RN Admin Hours Contract]]/Table39[[#This Row],[RN Admin Hours]]</f>
        <v>0</v>
      </c>
      <c r="R26" s="3">
        <v>5.6</v>
      </c>
      <c r="S26" s="3">
        <v>0</v>
      </c>
      <c r="T26" s="4">
        <f>Table39[[#This Row],[RN DON Hours Contract]]/Table39[[#This Row],[RN DON Hours]]</f>
        <v>0</v>
      </c>
      <c r="U26" s="3">
        <f>SUM(Table39[[#This Row],[LPN Hours]], Table39[[#This Row],[LPN Admin Hours]])</f>
        <v>55.088888888888889</v>
      </c>
      <c r="V26" s="3">
        <f>Table39[[#This Row],[LPN Hours Contract]]+Table39[[#This Row],[LPN Admin Hours Contract]]</f>
        <v>0</v>
      </c>
      <c r="W26" s="4">
        <f t="shared" si="2"/>
        <v>0</v>
      </c>
      <c r="X26" s="3">
        <v>55.088888888888889</v>
      </c>
      <c r="Y26" s="3">
        <v>0</v>
      </c>
      <c r="Z26" s="4">
        <f>Table39[[#This Row],[LPN Hours Contract]]/Table39[[#This Row],[LPN Hours]]</f>
        <v>0</v>
      </c>
      <c r="AA26" s="3">
        <v>0</v>
      </c>
      <c r="AB26" s="3">
        <v>0</v>
      </c>
      <c r="AC26" s="4">
        <v>0</v>
      </c>
      <c r="AD26" s="3">
        <f>SUM(Table39[[#This Row],[CNA Hours]], Table39[[#This Row],[NA in Training Hours]], Table39[[#This Row],[Med Aide/Tech Hours]])</f>
        <v>270.28333333333336</v>
      </c>
      <c r="AE26" s="3">
        <f>SUM(Table39[[#This Row],[CNA Hours Contract]], Table39[[#This Row],[NA in Training Hours Contract]], Table39[[#This Row],[Med Aide/Tech Hours Contract]])</f>
        <v>7.5027777777777782</v>
      </c>
      <c r="AF26" s="4">
        <f>Table39[[#This Row],[CNA/NA/Med Aide Contract Hours]]/Table39[[#This Row],[Total CNA, NA in Training, Med Aide/Tech Hours]]</f>
        <v>2.7758936095866476E-2</v>
      </c>
      <c r="AG26" s="3">
        <v>195.0888888888889</v>
      </c>
      <c r="AH26" s="3">
        <v>7.5027777777777782</v>
      </c>
      <c r="AI26" s="4">
        <f>Table39[[#This Row],[CNA Hours Contract]]/Table39[[#This Row],[CNA Hours]]</f>
        <v>3.8458252648365415E-2</v>
      </c>
      <c r="AJ26" s="3">
        <v>32.638888888888886</v>
      </c>
      <c r="AK26" s="3">
        <v>0</v>
      </c>
      <c r="AL26" s="4">
        <f>Table39[[#This Row],[NA in Training Hours Contract]]/Table39[[#This Row],[NA in Training Hours]]</f>
        <v>0</v>
      </c>
      <c r="AM26" s="3">
        <v>42.555555555555557</v>
      </c>
      <c r="AN26" s="3">
        <v>0</v>
      </c>
      <c r="AO26" s="4">
        <f>Table39[[#This Row],[Med Aide/Tech Hours Contract]]/Table39[[#This Row],[Med Aide/Tech Hours]]</f>
        <v>0</v>
      </c>
      <c r="AP26" s="1" t="s">
        <v>24</v>
      </c>
      <c r="AQ26" s="1">
        <v>10</v>
      </c>
    </row>
    <row r="27" spans="1:43" x14ac:dyDescent="0.2">
      <c r="A27" s="1" t="s">
        <v>128</v>
      </c>
      <c r="B27" s="1" t="s">
        <v>154</v>
      </c>
      <c r="C27" s="1" t="s">
        <v>287</v>
      </c>
      <c r="D27" s="1" t="s">
        <v>321</v>
      </c>
      <c r="E27" s="3">
        <v>67.088888888888889</v>
      </c>
      <c r="F27" s="3">
        <f t="shared" si="0"/>
        <v>294.43333333333334</v>
      </c>
      <c r="G27" s="3">
        <f>SUM(Table39[[#This Row],[RN Hours Contract (W/ Admin, DON)]], Table39[[#This Row],[LPN Contract Hours (w/ Admin)]], Table39[[#This Row],[CNA/NA/Med Aide Contract Hours]])</f>
        <v>12</v>
      </c>
      <c r="H27" s="4">
        <f>Table39[[#This Row],[Total Contract Hours]]/Table39[[#This Row],[Total Hours Nurse Staffing]]</f>
        <v>4.0756254953017095E-2</v>
      </c>
      <c r="I27" s="3">
        <f>SUM(Table39[[#This Row],[RN Hours]], Table39[[#This Row],[RN Admin Hours]], Table39[[#This Row],[RN DON Hours]])</f>
        <v>46.336111111111109</v>
      </c>
      <c r="J27" s="3">
        <f t="shared" si="1"/>
        <v>0</v>
      </c>
      <c r="K27" s="4">
        <f>Table39[[#This Row],[RN Hours Contract (W/ Admin, DON)]]/Table39[[#This Row],[RN Hours (w/ Admin, DON)]]</f>
        <v>0</v>
      </c>
      <c r="L27" s="3">
        <v>34.43611111111111</v>
      </c>
      <c r="M27" s="3">
        <v>0</v>
      </c>
      <c r="N27" s="4">
        <f>Table39[[#This Row],[RN Hours Contract]]/Table39[[#This Row],[RN Hours]]</f>
        <v>0</v>
      </c>
      <c r="O27" s="3">
        <v>5.3</v>
      </c>
      <c r="P27" s="3">
        <v>0</v>
      </c>
      <c r="Q27" s="4">
        <f>Table39[[#This Row],[RN Admin Hours Contract]]/Table39[[#This Row],[RN Admin Hours]]</f>
        <v>0</v>
      </c>
      <c r="R27" s="3">
        <v>6.6</v>
      </c>
      <c r="S27" s="3">
        <v>0</v>
      </c>
      <c r="T27" s="4">
        <f>Table39[[#This Row],[RN DON Hours Contract]]/Table39[[#This Row],[RN DON Hours]]</f>
        <v>0</v>
      </c>
      <c r="U27" s="3">
        <f>SUM(Table39[[#This Row],[LPN Hours]], Table39[[#This Row],[LPN Admin Hours]])</f>
        <v>68.938888888888897</v>
      </c>
      <c r="V27" s="3">
        <f>Table39[[#This Row],[LPN Hours Contract]]+Table39[[#This Row],[LPN Admin Hours Contract]]</f>
        <v>0</v>
      </c>
      <c r="W27" s="4">
        <f t="shared" si="2"/>
        <v>0</v>
      </c>
      <c r="X27" s="3">
        <v>67.019444444444446</v>
      </c>
      <c r="Y27" s="3">
        <v>0</v>
      </c>
      <c r="Z27" s="4">
        <f>Table39[[#This Row],[LPN Hours Contract]]/Table39[[#This Row],[LPN Hours]]</f>
        <v>0</v>
      </c>
      <c r="AA27" s="3">
        <v>1.9194444444444445</v>
      </c>
      <c r="AB27" s="3">
        <v>0</v>
      </c>
      <c r="AC27" s="4">
        <f>Table39[[#This Row],[LPN Admin Hours Contract]]/Table39[[#This Row],[LPN Admin Hours]]</f>
        <v>0</v>
      </c>
      <c r="AD27" s="3">
        <f>SUM(Table39[[#This Row],[CNA Hours]], Table39[[#This Row],[NA in Training Hours]], Table39[[#This Row],[Med Aide/Tech Hours]])</f>
        <v>179.15833333333333</v>
      </c>
      <c r="AE27" s="3">
        <f>SUM(Table39[[#This Row],[CNA Hours Contract]], Table39[[#This Row],[NA in Training Hours Contract]], Table39[[#This Row],[Med Aide/Tech Hours Contract]])</f>
        <v>12</v>
      </c>
      <c r="AF27" s="4">
        <f>Table39[[#This Row],[CNA/NA/Med Aide Contract Hours]]/Table39[[#This Row],[Total CNA, NA in Training, Med Aide/Tech Hours]]</f>
        <v>6.6979859528350158E-2</v>
      </c>
      <c r="AG27" s="3">
        <v>170.26666666666668</v>
      </c>
      <c r="AH27" s="3">
        <v>12</v>
      </c>
      <c r="AI27" s="4">
        <f>Table39[[#This Row],[CNA Hours Contract]]/Table39[[#This Row],[CNA Hours]]</f>
        <v>7.0477682067345337E-2</v>
      </c>
      <c r="AJ27" s="3">
        <v>1.6666666666666667</v>
      </c>
      <c r="AK27" s="3">
        <v>0</v>
      </c>
      <c r="AL27" s="4">
        <f>Table39[[#This Row],[NA in Training Hours Contract]]/Table39[[#This Row],[NA in Training Hours]]</f>
        <v>0</v>
      </c>
      <c r="AM27" s="3">
        <v>7.2249999999999996</v>
      </c>
      <c r="AN27" s="3">
        <v>0</v>
      </c>
      <c r="AO27" s="4">
        <f>Table39[[#This Row],[Med Aide/Tech Hours Contract]]/Table39[[#This Row],[Med Aide/Tech Hours]]</f>
        <v>0</v>
      </c>
      <c r="AP27" s="1" t="s">
        <v>25</v>
      </c>
      <c r="AQ27" s="1">
        <v>10</v>
      </c>
    </row>
    <row r="28" spans="1:43" x14ac:dyDescent="0.2">
      <c r="A28" s="1" t="s">
        <v>128</v>
      </c>
      <c r="B28" s="1" t="s">
        <v>155</v>
      </c>
      <c r="C28" s="1" t="s">
        <v>279</v>
      </c>
      <c r="D28" s="1" t="s">
        <v>334</v>
      </c>
      <c r="E28" s="3">
        <v>55.68888888888889</v>
      </c>
      <c r="F28" s="3">
        <f t="shared" si="0"/>
        <v>261.13388888888886</v>
      </c>
      <c r="G28" s="3">
        <f>SUM(Table39[[#This Row],[RN Hours Contract (W/ Admin, DON)]], Table39[[#This Row],[LPN Contract Hours (w/ Admin)]], Table39[[#This Row],[CNA/NA/Med Aide Contract Hours]])</f>
        <v>0</v>
      </c>
      <c r="H28" s="4">
        <f>Table39[[#This Row],[Total Contract Hours]]/Table39[[#This Row],[Total Hours Nurse Staffing]]</f>
        <v>0</v>
      </c>
      <c r="I28" s="3">
        <f>SUM(Table39[[#This Row],[RN Hours]], Table39[[#This Row],[RN Admin Hours]], Table39[[#This Row],[RN DON Hours]])</f>
        <v>46.029444444444444</v>
      </c>
      <c r="J28" s="3">
        <f t="shared" si="1"/>
        <v>0</v>
      </c>
      <c r="K28" s="4">
        <f>Table39[[#This Row],[RN Hours Contract (W/ Admin, DON)]]/Table39[[#This Row],[RN Hours (w/ Admin, DON)]]</f>
        <v>0</v>
      </c>
      <c r="L28" s="3">
        <v>40.429444444444442</v>
      </c>
      <c r="M28" s="3">
        <v>0</v>
      </c>
      <c r="N28" s="4">
        <f>Table39[[#This Row],[RN Hours Contract]]/Table39[[#This Row],[RN Hours]]</f>
        <v>0</v>
      </c>
      <c r="O28" s="3">
        <v>0</v>
      </c>
      <c r="P28" s="3">
        <v>0</v>
      </c>
      <c r="Q28" s="4">
        <v>0</v>
      </c>
      <c r="R28" s="3">
        <v>5.6</v>
      </c>
      <c r="S28" s="3">
        <v>0</v>
      </c>
      <c r="T28" s="4">
        <f>Table39[[#This Row],[RN DON Hours Contract]]/Table39[[#This Row],[RN DON Hours]]</f>
        <v>0</v>
      </c>
      <c r="U28" s="3">
        <f>SUM(Table39[[#This Row],[LPN Hours]], Table39[[#This Row],[LPN Admin Hours]])</f>
        <v>32.663555555555554</v>
      </c>
      <c r="V28" s="3">
        <f>Table39[[#This Row],[LPN Hours Contract]]+Table39[[#This Row],[LPN Admin Hours Contract]]</f>
        <v>0</v>
      </c>
      <c r="W28" s="4">
        <f t="shared" si="2"/>
        <v>0</v>
      </c>
      <c r="X28" s="3">
        <v>32.663555555555554</v>
      </c>
      <c r="Y28" s="3">
        <v>0</v>
      </c>
      <c r="Z28" s="4">
        <f>Table39[[#This Row],[LPN Hours Contract]]/Table39[[#This Row],[LPN Hours]]</f>
        <v>0</v>
      </c>
      <c r="AA28" s="3">
        <v>0</v>
      </c>
      <c r="AB28" s="3">
        <v>0</v>
      </c>
      <c r="AC28" s="4">
        <v>0</v>
      </c>
      <c r="AD28" s="3">
        <f>SUM(Table39[[#This Row],[CNA Hours]], Table39[[#This Row],[NA in Training Hours]], Table39[[#This Row],[Med Aide/Tech Hours]])</f>
        <v>182.44088888888888</v>
      </c>
      <c r="AE28" s="3">
        <f>SUM(Table39[[#This Row],[CNA Hours Contract]], Table39[[#This Row],[NA in Training Hours Contract]], Table39[[#This Row],[Med Aide/Tech Hours Contract]])</f>
        <v>0</v>
      </c>
      <c r="AF28" s="4">
        <f>Table39[[#This Row],[CNA/NA/Med Aide Contract Hours]]/Table39[[#This Row],[Total CNA, NA in Training, Med Aide/Tech Hours]]</f>
        <v>0</v>
      </c>
      <c r="AG28" s="3">
        <v>150.92611111111111</v>
      </c>
      <c r="AH28" s="3">
        <v>0</v>
      </c>
      <c r="AI28" s="4">
        <f>Table39[[#This Row],[CNA Hours Contract]]/Table39[[#This Row],[CNA Hours]]</f>
        <v>0</v>
      </c>
      <c r="AJ28" s="3">
        <v>0</v>
      </c>
      <c r="AK28" s="3">
        <v>0</v>
      </c>
      <c r="AL28" s="4">
        <v>0</v>
      </c>
      <c r="AM28" s="3">
        <v>31.514777777777763</v>
      </c>
      <c r="AN28" s="3">
        <v>0</v>
      </c>
      <c r="AO28" s="4">
        <f>Table39[[#This Row],[Med Aide/Tech Hours Contract]]/Table39[[#This Row],[Med Aide/Tech Hours]]</f>
        <v>0</v>
      </c>
      <c r="AP28" s="1" t="s">
        <v>26</v>
      </c>
      <c r="AQ28" s="1">
        <v>10</v>
      </c>
    </row>
    <row r="29" spans="1:43" x14ac:dyDescent="0.2">
      <c r="A29" s="1" t="s">
        <v>128</v>
      </c>
      <c r="B29" s="1" t="s">
        <v>156</v>
      </c>
      <c r="C29" s="1" t="s">
        <v>263</v>
      </c>
      <c r="D29" s="1" t="s">
        <v>334</v>
      </c>
      <c r="E29" s="3">
        <v>60.211111111111109</v>
      </c>
      <c r="F29" s="3">
        <f t="shared" si="0"/>
        <v>279.14333333333332</v>
      </c>
      <c r="G29" s="3">
        <f>SUM(Table39[[#This Row],[RN Hours Contract (W/ Admin, DON)]], Table39[[#This Row],[LPN Contract Hours (w/ Admin)]], Table39[[#This Row],[CNA/NA/Med Aide Contract Hours]])</f>
        <v>0.74699999999999989</v>
      </c>
      <c r="H29" s="4">
        <f>Table39[[#This Row],[Total Contract Hours]]/Table39[[#This Row],[Total Hours Nurse Staffing]]</f>
        <v>2.6760445649188585E-3</v>
      </c>
      <c r="I29" s="3">
        <f>SUM(Table39[[#This Row],[RN Hours]], Table39[[#This Row],[RN Admin Hours]], Table39[[#This Row],[RN DON Hours]])</f>
        <v>33.098111111111109</v>
      </c>
      <c r="J29" s="3">
        <f t="shared" si="1"/>
        <v>0</v>
      </c>
      <c r="K29" s="4">
        <f>Table39[[#This Row],[RN Hours Contract (W/ Admin, DON)]]/Table39[[#This Row],[RN Hours (w/ Admin, DON)]]</f>
        <v>0</v>
      </c>
      <c r="L29" s="3">
        <v>24.236999999999998</v>
      </c>
      <c r="M29" s="3">
        <v>0</v>
      </c>
      <c r="N29" s="4">
        <f>Table39[[#This Row],[RN Hours Contract]]/Table39[[#This Row],[RN Hours]]</f>
        <v>0</v>
      </c>
      <c r="O29" s="3">
        <v>3.75</v>
      </c>
      <c r="P29" s="3">
        <v>0</v>
      </c>
      <c r="Q29" s="4">
        <f>Table39[[#This Row],[RN Admin Hours Contract]]/Table39[[#This Row],[RN Admin Hours]]</f>
        <v>0</v>
      </c>
      <c r="R29" s="3">
        <v>5.1111111111111107</v>
      </c>
      <c r="S29" s="3">
        <v>0</v>
      </c>
      <c r="T29" s="4">
        <f>Table39[[#This Row],[RN DON Hours Contract]]/Table39[[#This Row],[RN DON Hours]]</f>
        <v>0</v>
      </c>
      <c r="U29" s="3">
        <f>SUM(Table39[[#This Row],[LPN Hours]], Table39[[#This Row],[LPN Admin Hours]])</f>
        <v>69.300666666666672</v>
      </c>
      <c r="V29" s="3">
        <f>Table39[[#This Row],[LPN Hours Contract]]+Table39[[#This Row],[LPN Admin Hours Contract]]</f>
        <v>0</v>
      </c>
      <c r="W29" s="4">
        <f t="shared" si="2"/>
        <v>0</v>
      </c>
      <c r="X29" s="3">
        <v>48.420111111111119</v>
      </c>
      <c r="Y29" s="3">
        <v>0</v>
      </c>
      <c r="Z29" s="4">
        <f>Table39[[#This Row],[LPN Hours Contract]]/Table39[[#This Row],[LPN Hours]]</f>
        <v>0</v>
      </c>
      <c r="AA29" s="3">
        <v>20.880555555555556</v>
      </c>
      <c r="AB29" s="3">
        <v>0</v>
      </c>
      <c r="AC29" s="4">
        <f>Table39[[#This Row],[LPN Admin Hours Contract]]/Table39[[#This Row],[LPN Admin Hours]]</f>
        <v>0</v>
      </c>
      <c r="AD29" s="3">
        <f>SUM(Table39[[#This Row],[CNA Hours]], Table39[[#This Row],[NA in Training Hours]], Table39[[#This Row],[Med Aide/Tech Hours]])</f>
        <v>176.74455555555556</v>
      </c>
      <c r="AE29" s="3">
        <f>SUM(Table39[[#This Row],[CNA Hours Contract]], Table39[[#This Row],[NA in Training Hours Contract]], Table39[[#This Row],[Med Aide/Tech Hours Contract]])</f>
        <v>0.74699999999999989</v>
      </c>
      <c r="AF29" s="4">
        <f>Table39[[#This Row],[CNA/NA/Med Aide Contract Hours]]/Table39[[#This Row],[Total CNA, NA in Training, Med Aide/Tech Hours]]</f>
        <v>4.2264385324457575E-3</v>
      </c>
      <c r="AG29" s="3">
        <v>146.58555555555557</v>
      </c>
      <c r="AH29" s="3">
        <v>0.74699999999999989</v>
      </c>
      <c r="AI29" s="4">
        <f>Table39[[#This Row],[CNA Hours Contract]]/Table39[[#This Row],[CNA Hours]]</f>
        <v>5.0960000606395947E-3</v>
      </c>
      <c r="AJ29" s="3">
        <v>16.052555555555557</v>
      </c>
      <c r="AK29" s="3">
        <v>0</v>
      </c>
      <c r="AL29" s="4">
        <f>Table39[[#This Row],[NA in Training Hours Contract]]/Table39[[#This Row],[NA in Training Hours]]</f>
        <v>0</v>
      </c>
      <c r="AM29" s="3">
        <v>14.106444444444449</v>
      </c>
      <c r="AN29" s="3">
        <v>0</v>
      </c>
      <c r="AO29" s="4">
        <f>Table39[[#This Row],[Med Aide/Tech Hours Contract]]/Table39[[#This Row],[Med Aide/Tech Hours]]</f>
        <v>0</v>
      </c>
      <c r="AP29" s="1" t="s">
        <v>27</v>
      </c>
      <c r="AQ29" s="1">
        <v>10</v>
      </c>
    </row>
    <row r="30" spans="1:43" x14ac:dyDescent="0.2">
      <c r="A30" s="1" t="s">
        <v>128</v>
      </c>
      <c r="B30" s="1" t="s">
        <v>157</v>
      </c>
      <c r="C30" s="1" t="s">
        <v>288</v>
      </c>
      <c r="D30" s="1" t="s">
        <v>340</v>
      </c>
      <c r="E30" s="3">
        <v>67.666666666666671</v>
      </c>
      <c r="F30" s="3">
        <f t="shared" si="0"/>
        <v>335.83055555555558</v>
      </c>
      <c r="G30" s="3">
        <f>SUM(Table39[[#This Row],[RN Hours Contract (W/ Admin, DON)]], Table39[[#This Row],[LPN Contract Hours (w/ Admin)]], Table39[[#This Row],[CNA/NA/Med Aide Contract Hours]])</f>
        <v>0</v>
      </c>
      <c r="H30" s="4">
        <f>Table39[[#This Row],[Total Contract Hours]]/Table39[[#This Row],[Total Hours Nurse Staffing]]</f>
        <v>0</v>
      </c>
      <c r="I30" s="3">
        <f>SUM(Table39[[#This Row],[RN Hours]], Table39[[#This Row],[RN Admin Hours]], Table39[[#This Row],[RN DON Hours]])</f>
        <v>56.3</v>
      </c>
      <c r="J30" s="3">
        <f t="shared" si="1"/>
        <v>0</v>
      </c>
      <c r="K30" s="4">
        <f>Table39[[#This Row],[RN Hours Contract (W/ Admin, DON)]]/Table39[[#This Row],[RN Hours (w/ Admin, DON)]]</f>
        <v>0</v>
      </c>
      <c r="L30" s="3">
        <v>28.847222222222221</v>
      </c>
      <c r="M30" s="3">
        <v>0</v>
      </c>
      <c r="N30" s="4">
        <f>Table39[[#This Row],[RN Hours Contract]]/Table39[[#This Row],[RN Hours]]</f>
        <v>0</v>
      </c>
      <c r="O30" s="3">
        <v>21.719444444444445</v>
      </c>
      <c r="P30" s="3">
        <v>0</v>
      </c>
      <c r="Q30" s="4">
        <f>Table39[[#This Row],[RN Admin Hours Contract]]/Table39[[#This Row],[RN Admin Hours]]</f>
        <v>0</v>
      </c>
      <c r="R30" s="3">
        <v>5.7333333333333334</v>
      </c>
      <c r="S30" s="3">
        <v>0</v>
      </c>
      <c r="T30" s="4">
        <f>Table39[[#This Row],[RN DON Hours Contract]]/Table39[[#This Row],[RN DON Hours]]</f>
        <v>0</v>
      </c>
      <c r="U30" s="3">
        <f>SUM(Table39[[#This Row],[LPN Hours]], Table39[[#This Row],[LPN Admin Hours]])</f>
        <v>71.025000000000006</v>
      </c>
      <c r="V30" s="3">
        <f>Table39[[#This Row],[LPN Hours Contract]]+Table39[[#This Row],[LPN Admin Hours Contract]]</f>
        <v>0</v>
      </c>
      <c r="W30" s="4">
        <f t="shared" si="2"/>
        <v>0</v>
      </c>
      <c r="X30" s="3">
        <v>71.025000000000006</v>
      </c>
      <c r="Y30" s="3">
        <v>0</v>
      </c>
      <c r="Z30" s="4">
        <f>Table39[[#This Row],[LPN Hours Contract]]/Table39[[#This Row],[LPN Hours]]</f>
        <v>0</v>
      </c>
      <c r="AA30" s="3">
        <v>0</v>
      </c>
      <c r="AB30" s="3">
        <v>0</v>
      </c>
      <c r="AC30" s="4">
        <v>0</v>
      </c>
      <c r="AD30" s="3">
        <f>SUM(Table39[[#This Row],[CNA Hours]], Table39[[#This Row],[NA in Training Hours]], Table39[[#This Row],[Med Aide/Tech Hours]])</f>
        <v>208.50555555555556</v>
      </c>
      <c r="AE30" s="3">
        <f>SUM(Table39[[#This Row],[CNA Hours Contract]], Table39[[#This Row],[NA in Training Hours Contract]], Table39[[#This Row],[Med Aide/Tech Hours Contract]])</f>
        <v>0</v>
      </c>
      <c r="AF30" s="4">
        <f>Table39[[#This Row],[CNA/NA/Med Aide Contract Hours]]/Table39[[#This Row],[Total CNA, NA in Training, Med Aide/Tech Hours]]</f>
        <v>0</v>
      </c>
      <c r="AG30" s="3">
        <v>179.97499999999999</v>
      </c>
      <c r="AH30" s="3">
        <v>0</v>
      </c>
      <c r="AI30" s="4">
        <f>Table39[[#This Row],[CNA Hours Contract]]/Table39[[#This Row],[CNA Hours]]</f>
        <v>0</v>
      </c>
      <c r="AJ30" s="3">
        <v>0</v>
      </c>
      <c r="AK30" s="3">
        <v>0</v>
      </c>
      <c r="AL30" s="4">
        <v>0</v>
      </c>
      <c r="AM30" s="3">
        <v>28.530555555555555</v>
      </c>
      <c r="AN30" s="3">
        <v>0</v>
      </c>
      <c r="AO30" s="4">
        <f>Table39[[#This Row],[Med Aide/Tech Hours Contract]]/Table39[[#This Row],[Med Aide/Tech Hours]]</f>
        <v>0</v>
      </c>
      <c r="AP30" s="1" t="s">
        <v>28</v>
      </c>
      <c r="AQ30" s="1">
        <v>10</v>
      </c>
    </row>
    <row r="31" spans="1:43" x14ac:dyDescent="0.2">
      <c r="A31" s="1" t="s">
        <v>128</v>
      </c>
      <c r="B31" s="1" t="s">
        <v>158</v>
      </c>
      <c r="C31" s="1" t="s">
        <v>289</v>
      </c>
      <c r="D31" s="1" t="s">
        <v>341</v>
      </c>
      <c r="E31" s="3">
        <v>29.911111111111111</v>
      </c>
      <c r="F31" s="3">
        <f t="shared" si="0"/>
        <v>133.79055555555556</v>
      </c>
      <c r="G31" s="3">
        <f>SUM(Table39[[#This Row],[RN Hours Contract (W/ Admin, DON)]], Table39[[#This Row],[LPN Contract Hours (w/ Admin)]], Table39[[#This Row],[CNA/NA/Med Aide Contract Hours]])</f>
        <v>5.7777777777777777</v>
      </c>
      <c r="H31" s="4">
        <f>Table39[[#This Row],[Total Contract Hours]]/Table39[[#This Row],[Total Hours Nurse Staffing]]</f>
        <v>4.3185243934341817E-2</v>
      </c>
      <c r="I31" s="3">
        <f>SUM(Table39[[#This Row],[RN Hours]], Table39[[#This Row],[RN Admin Hours]], Table39[[#This Row],[RN DON Hours]])</f>
        <v>34.648888888888891</v>
      </c>
      <c r="J31" s="3">
        <f t="shared" si="1"/>
        <v>0.30833333333333335</v>
      </c>
      <c r="K31" s="4">
        <f>Table39[[#This Row],[RN Hours Contract (W/ Admin, DON)]]/Table39[[#This Row],[RN Hours (w/ Admin, DON)]]</f>
        <v>8.8987942534633144E-3</v>
      </c>
      <c r="L31" s="3">
        <v>31.353777777777779</v>
      </c>
      <c r="M31" s="3">
        <v>0.30833333333333335</v>
      </c>
      <c r="N31" s="4">
        <f>Table39[[#This Row],[RN Hours Contract]]/Table39[[#This Row],[RN Hours]]</f>
        <v>9.8340090153942114E-3</v>
      </c>
      <c r="O31" s="3">
        <v>0</v>
      </c>
      <c r="P31" s="3">
        <v>0</v>
      </c>
      <c r="Q31" s="4">
        <v>0</v>
      </c>
      <c r="R31" s="3">
        <v>3.2951111111111118</v>
      </c>
      <c r="S31" s="3">
        <v>0</v>
      </c>
      <c r="T31" s="4">
        <f>Table39[[#This Row],[RN DON Hours Contract]]/Table39[[#This Row],[RN DON Hours]]</f>
        <v>0</v>
      </c>
      <c r="U31" s="3">
        <f>SUM(Table39[[#This Row],[LPN Hours]], Table39[[#This Row],[LPN Admin Hours]])</f>
        <v>21.74111111111111</v>
      </c>
      <c r="V31" s="3">
        <f>Table39[[#This Row],[LPN Hours Contract]]+Table39[[#This Row],[LPN Admin Hours Contract]]</f>
        <v>0</v>
      </c>
      <c r="W31" s="4">
        <f t="shared" si="2"/>
        <v>0</v>
      </c>
      <c r="X31" s="3">
        <v>13.23711111111111</v>
      </c>
      <c r="Y31" s="3">
        <v>0</v>
      </c>
      <c r="Z31" s="4">
        <f>Table39[[#This Row],[LPN Hours Contract]]/Table39[[#This Row],[LPN Hours]]</f>
        <v>0</v>
      </c>
      <c r="AA31" s="3">
        <v>8.5040000000000013</v>
      </c>
      <c r="AB31" s="3">
        <v>0</v>
      </c>
      <c r="AC31" s="4">
        <f>Table39[[#This Row],[LPN Admin Hours Contract]]/Table39[[#This Row],[LPN Admin Hours]]</f>
        <v>0</v>
      </c>
      <c r="AD31" s="3">
        <f>SUM(Table39[[#This Row],[CNA Hours]], Table39[[#This Row],[NA in Training Hours]], Table39[[#This Row],[Med Aide/Tech Hours]])</f>
        <v>77.400555555555556</v>
      </c>
      <c r="AE31" s="3">
        <f>SUM(Table39[[#This Row],[CNA Hours Contract]], Table39[[#This Row],[NA in Training Hours Contract]], Table39[[#This Row],[Med Aide/Tech Hours Contract]])</f>
        <v>5.4694444444444441</v>
      </c>
      <c r="AF31" s="4">
        <f>Table39[[#This Row],[CNA/NA/Med Aide Contract Hours]]/Table39[[#This Row],[Total CNA, NA in Training, Med Aide/Tech Hours]]</f>
        <v>7.0664149697461251E-2</v>
      </c>
      <c r="AG31" s="3">
        <v>77.400555555555556</v>
      </c>
      <c r="AH31" s="3">
        <v>5.4694444444444441</v>
      </c>
      <c r="AI31" s="4">
        <f>Table39[[#This Row],[CNA Hours Contract]]/Table39[[#This Row],[CNA Hours]]</f>
        <v>7.0664149697461251E-2</v>
      </c>
      <c r="AJ31" s="3">
        <v>0</v>
      </c>
      <c r="AK31" s="3">
        <v>0</v>
      </c>
      <c r="AL31" s="4">
        <v>0</v>
      </c>
      <c r="AM31" s="3">
        <v>0</v>
      </c>
      <c r="AN31" s="3">
        <v>0</v>
      </c>
      <c r="AO31" s="4">
        <v>0</v>
      </c>
      <c r="AP31" s="1" t="s">
        <v>29</v>
      </c>
      <c r="AQ31" s="1">
        <v>10</v>
      </c>
    </row>
    <row r="32" spans="1:43" x14ac:dyDescent="0.2">
      <c r="A32" s="1" t="s">
        <v>128</v>
      </c>
      <c r="B32" s="1" t="s">
        <v>159</v>
      </c>
      <c r="C32" s="1" t="s">
        <v>263</v>
      </c>
      <c r="D32" s="1" t="s">
        <v>334</v>
      </c>
      <c r="E32" s="3">
        <v>82.888888888888886</v>
      </c>
      <c r="F32" s="3">
        <f t="shared" si="0"/>
        <v>450.35277777777776</v>
      </c>
      <c r="G32" s="3">
        <f>SUM(Table39[[#This Row],[RN Hours Contract (W/ Admin, DON)]], Table39[[#This Row],[LPN Contract Hours (w/ Admin)]], Table39[[#This Row],[CNA/NA/Med Aide Contract Hours]])</f>
        <v>2.9333333333333331</v>
      </c>
      <c r="H32" s="4">
        <f>Table39[[#This Row],[Total Contract Hours]]/Table39[[#This Row],[Total Hours Nurse Staffing]]</f>
        <v>6.5134123249057834E-3</v>
      </c>
      <c r="I32" s="3">
        <f>SUM(Table39[[#This Row],[RN Hours]], Table39[[#This Row],[RN Admin Hours]], Table39[[#This Row],[RN DON Hours]])</f>
        <v>153.27777777777777</v>
      </c>
      <c r="J32" s="3">
        <f t="shared" si="1"/>
        <v>0</v>
      </c>
      <c r="K32" s="4">
        <f>Table39[[#This Row],[RN Hours Contract (W/ Admin, DON)]]/Table39[[#This Row],[RN Hours (w/ Admin, DON)]]</f>
        <v>0</v>
      </c>
      <c r="L32" s="3">
        <v>117.05555555555556</v>
      </c>
      <c r="M32" s="3">
        <v>0</v>
      </c>
      <c r="N32" s="4">
        <f>Table39[[#This Row],[RN Hours Contract]]/Table39[[#This Row],[RN Hours]]</f>
        <v>0</v>
      </c>
      <c r="O32" s="3">
        <v>30.622222222222224</v>
      </c>
      <c r="P32" s="3">
        <v>0</v>
      </c>
      <c r="Q32" s="4">
        <f>Table39[[#This Row],[RN Admin Hours Contract]]/Table39[[#This Row],[RN Admin Hours]]</f>
        <v>0</v>
      </c>
      <c r="R32" s="3">
        <v>5.6</v>
      </c>
      <c r="S32" s="3">
        <v>0</v>
      </c>
      <c r="T32" s="4">
        <f>Table39[[#This Row],[RN DON Hours Contract]]/Table39[[#This Row],[RN DON Hours]]</f>
        <v>0</v>
      </c>
      <c r="U32" s="3">
        <f>SUM(Table39[[#This Row],[LPN Hours]], Table39[[#This Row],[LPN Admin Hours]])</f>
        <v>33.613888888888887</v>
      </c>
      <c r="V32" s="3">
        <f>Table39[[#This Row],[LPN Hours Contract]]+Table39[[#This Row],[LPN Admin Hours Contract]]</f>
        <v>0.18333333333333332</v>
      </c>
      <c r="W32" s="4">
        <f t="shared" si="2"/>
        <v>5.4540947029171139E-3</v>
      </c>
      <c r="X32" s="3">
        <v>33.613888888888887</v>
      </c>
      <c r="Y32" s="3">
        <v>0.18333333333333332</v>
      </c>
      <c r="Z32" s="4">
        <f>Table39[[#This Row],[LPN Hours Contract]]/Table39[[#This Row],[LPN Hours]]</f>
        <v>5.4540947029171139E-3</v>
      </c>
      <c r="AA32" s="3">
        <v>0</v>
      </c>
      <c r="AB32" s="3">
        <v>0</v>
      </c>
      <c r="AC32" s="4">
        <v>0</v>
      </c>
      <c r="AD32" s="3">
        <f>SUM(Table39[[#This Row],[CNA Hours]], Table39[[#This Row],[NA in Training Hours]], Table39[[#This Row],[Med Aide/Tech Hours]])</f>
        <v>263.46111111111111</v>
      </c>
      <c r="AE32" s="3">
        <f>SUM(Table39[[#This Row],[CNA Hours Contract]], Table39[[#This Row],[NA in Training Hours Contract]], Table39[[#This Row],[Med Aide/Tech Hours Contract]])</f>
        <v>2.75</v>
      </c>
      <c r="AF32" s="4">
        <f>Table39[[#This Row],[CNA/NA/Med Aide Contract Hours]]/Table39[[#This Row],[Total CNA, NA in Training, Med Aide/Tech Hours]]</f>
        <v>1.0437973135398435E-2</v>
      </c>
      <c r="AG32" s="3">
        <v>212.875</v>
      </c>
      <c r="AH32" s="3">
        <v>2.6666666666666665</v>
      </c>
      <c r="AI32" s="4">
        <f>Table39[[#This Row],[CNA Hours Contract]]/Table39[[#This Row],[CNA Hours]]</f>
        <v>1.2526913290272067E-2</v>
      </c>
      <c r="AJ32" s="3">
        <v>23.411111111111111</v>
      </c>
      <c r="AK32" s="3">
        <v>8.3333333333333329E-2</v>
      </c>
      <c r="AL32" s="4">
        <f>Table39[[#This Row],[NA in Training Hours Contract]]/Table39[[#This Row],[NA in Training Hours]]</f>
        <v>3.559563360227812E-3</v>
      </c>
      <c r="AM32" s="3">
        <v>27.175000000000001</v>
      </c>
      <c r="AN32" s="3">
        <v>0</v>
      </c>
      <c r="AO32" s="4">
        <f>Table39[[#This Row],[Med Aide/Tech Hours Contract]]/Table39[[#This Row],[Med Aide/Tech Hours]]</f>
        <v>0</v>
      </c>
      <c r="AP32" s="1" t="s">
        <v>30</v>
      </c>
      <c r="AQ32" s="1">
        <v>10</v>
      </c>
    </row>
    <row r="33" spans="1:43" x14ac:dyDescent="0.2">
      <c r="A33" s="1" t="s">
        <v>128</v>
      </c>
      <c r="B33" s="1" t="s">
        <v>160</v>
      </c>
      <c r="C33" s="1" t="s">
        <v>257</v>
      </c>
      <c r="D33" s="1" t="s">
        <v>335</v>
      </c>
      <c r="E33" s="3">
        <v>42.522222222222226</v>
      </c>
      <c r="F33" s="3">
        <f t="shared" si="0"/>
        <v>191.20244444444447</v>
      </c>
      <c r="G33" s="3">
        <f>SUM(Table39[[#This Row],[RN Hours Contract (W/ Admin, DON)]], Table39[[#This Row],[LPN Contract Hours (w/ Admin)]], Table39[[#This Row],[CNA/NA/Med Aide Contract Hours]])</f>
        <v>8.8442222222222231</v>
      </c>
      <c r="H33" s="4">
        <f>Table39[[#This Row],[Total Contract Hours]]/Table39[[#This Row],[Total Hours Nurse Staffing]]</f>
        <v>4.625580100672818E-2</v>
      </c>
      <c r="I33" s="3">
        <f>SUM(Table39[[#This Row],[RN Hours]], Table39[[#This Row],[RN Admin Hours]], Table39[[#This Row],[RN DON Hours]])</f>
        <v>22.228222222222229</v>
      </c>
      <c r="J33" s="3">
        <f t="shared" si="1"/>
        <v>0</v>
      </c>
      <c r="K33" s="4">
        <f>Table39[[#This Row],[RN Hours Contract (W/ Admin, DON)]]/Table39[[#This Row],[RN Hours (w/ Admin, DON)]]</f>
        <v>0</v>
      </c>
      <c r="L33" s="3">
        <v>15.404333333333334</v>
      </c>
      <c r="M33" s="3">
        <v>0</v>
      </c>
      <c r="N33" s="4">
        <f>Table39[[#This Row],[RN Hours Contract]]/Table39[[#This Row],[RN Hours]]</f>
        <v>0</v>
      </c>
      <c r="O33" s="3">
        <v>1.6675555555555555</v>
      </c>
      <c r="P33" s="3">
        <v>0</v>
      </c>
      <c r="Q33" s="4">
        <f>Table39[[#This Row],[RN Admin Hours Contract]]/Table39[[#This Row],[RN Admin Hours]]</f>
        <v>0</v>
      </c>
      <c r="R33" s="3">
        <v>5.1563333333333379</v>
      </c>
      <c r="S33" s="3">
        <v>0</v>
      </c>
      <c r="T33" s="4">
        <f>Table39[[#This Row],[RN DON Hours Contract]]/Table39[[#This Row],[RN DON Hours]]</f>
        <v>0</v>
      </c>
      <c r="U33" s="3">
        <f>SUM(Table39[[#This Row],[LPN Hours]], Table39[[#This Row],[LPN Admin Hours]])</f>
        <v>32.832111111111111</v>
      </c>
      <c r="V33" s="3">
        <f>Table39[[#This Row],[LPN Hours Contract]]+Table39[[#This Row],[LPN Admin Hours Contract]]</f>
        <v>0</v>
      </c>
      <c r="W33" s="4">
        <f t="shared" si="2"/>
        <v>0</v>
      </c>
      <c r="X33" s="3">
        <v>32.832111111111111</v>
      </c>
      <c r="Y33" s="3">
        <v>0</v>
      </c>
      <c r="Z33" s="4">
        <f>Table39[[#This Row],[LPN Hours Contract]]/Table39[[#This Row],[LPN Hours]]</f>
        <v>0</v>
      </c>
      <c r="AA33" s="3">
        <v>0</v>
      </c>
      <c r="AB33" s="3">
        <v>0</v>
      </c>
      <c r="AC33" s="4">
        <v>0</v>
      </c>
      <c r="AD33" s="3">
        <f>SUM(Table39[[#This Row],[CNA Hours]], Table39[[#This Row],[NA in Training Hours]], Table39[[#This Row],[Med Aide/Tech Hours]])</f>
        <v>136.14211111111112</v>
      </c>
      <c r="AE33" s="3">
        <f>SUM(Table39[[#This Row],[CNA Hours Contract]], Table39[[#This Row],[NA in Training Hours Contract]], Table39[[#This Row],[Med Aide/Tech Hours Contract]])</f>
        <v>8.8442222222222231</v>
      </c>
      <c r="AF33" s="4">
        <f>Table39[[#This Row],[CNA/NA/Med Aide Contract Hours]]/Table39[[#This Row],[Total CNA, NA in Training, Med Aide/Tech Hours]]</f>
        <v>6.4963163491743511E-2</v>
      </c>
      <c r="AG33" s="3">
        <v>124.1568888888889</v>
      </c>
      <c r="AH33" s="3">
        <v>8.8442222222222231</v>
      </c>
      <c r="AI33" s="4">
        <f>Table39[[#This Row],[CNA Hours Contract]]/Table39[[#This Row],[CNA Hours]]</f>
        <v>7.1234244844336742E-2</v>
      </c>
      <c r="AJ33" s="3">
        <v>0</v>
      </c>
      <c r="AK33" s="3">
        <v>0</v>
      </c>
      <c r="AL33" s="4">
        <v>0</v>
      </c>
      <c r="AM33" s="3">
        <v>11.985222222222223</v>
      </c>
      <c r="AN33" s="3">
        <v>0</v>
      </c>
      <c r="AO33" s="4">
        <f>Table39[[#This Row],[Med Aide/Tech Hours Contract]]/Table39[[#This Row],[Med Aide/Tech Hours]]</f>
        <v>0</v>
      </c>
      <c r="AP33" s="1" t="s">
        <v>31</v>
      </c>
      <c r="AQ33" s="1">
        <v>10</v>
      </c>
    </row>
    <row r="34" spans="1:43" x14ac:dyDescent="0.2">
      <c r="A34" s="1" t="s">
        <v>128</v>
      </c>
      <c r="B34" s="1" t="s">
        <v>161</v>
      </c>
      <c r="C34" s="1" t="s">
        <v>290</v>
      </c>
      <c r="D34" s="1" t="s">
        <v>330</v>
      </c>
      <c r="E34" s="3">
        <v>81.166666666666671</v>
      </c>
      <c r="F34" s="3">
        <f t="shared" si="0"/>
        <v>400.9807777777778</v>
      </c>
      <c r="G34" s="3">
        <f>SUM(Table39[[#This Row],[RN Hours Contract (W/ Admin, DON)]], Table39[[#This Row],[LPN Contract Hours (w/ Admin)]], Table39[[#This Row],[CNA/NA/Med Aide Contract Hours]])</f>
        <v>33.169777777777782</v>
      </c>
      <c r="H34" s="4">
        <f>Table39[[#This Row],[Total Contract Hours]]/Table39[[#This Row],[Total Hours Nurse Staffing]]</f>
        <v>8.2721615638544049E-2</v>
      </c>
      <c r="I34" s="3">
        <f>SUM(Table39[[#This Row],[RN Hours]], Table39[[#This Row],[RN Admin Hours]], Table39[[#This Row],[RN DON Hours]])</f>
        <v>63.696555555555562</v>
      </c>
      <c r="J34" s="3">
        <f t="shared" si="1"/>
        <v>8.8000000000000007</v>
      </c>
      <c r="K34" s="4">
        <f>Table39[[#This Row],[RN Hours Contract (W/ Admin, DON)]]/Table39[[#This Row],[RN Hours (w/ Admin, DON)]]</f>
        <v>0.13815503716405386</v>
      </c>
      <c r="L34" s="3">
        <v>50.656222222222226</v>
      </c>
      <c r="M34" s="3">
        <v>8.8000000000000007</v>
      </c>
      <c r="N34" s="4">
        <f>Table39[[#This Row],[RN Hours Contract]]/Table39[[#This Row],[RN Hours]]</f>
        <v>0.17372002123244704</v>
      </c>
      <c r="O34" s="3">
        <v>8.062555555555555</v>
      </c>
      <c r="P34" s="3">
        <v>0</v>
      </c>
      <c r="Q34" s="4">
        <f>Table39[[#This Row],[RN Admin Hours Contract]]/Table39[[#This Row],[RN Admin Hours]]</f>
        <v>0</v>
      </c>
      <c r="R34" s="3">
        <v>4.9777777777777779</v>
      </c>
      <c r="S34" s="3">
        <v>0</v>
      </c>
      <c r="T34" s="4">
        <f>Table39[[#This Row],[RN DON Hours Contract]]/Table39[[#This Row],[RN DON Hours]]</f>
        <v>0</v>
      </c>
      <c r="U34" s="3">
        <f>SUM(Table39[[#This Row],[LPN Hours]], Table39[[#This Row],[LPN Admin Hours]])</f>
        <v>61.330000000000005</v>
      </c>
      <c r="V34" s="3">
        <f>Table39[[#This Row],[LPN Hours Contract]]+Table39[[#This Row],[LPN Admin Hours Contract]]</f>
        <v>3.0027777777777778</v>
      </c>
      <c r="W34" s="4">
        <f t="shared" si="2"/>
        <v>4.8960994256934252E-2</v>
      </c>
      <c r="X34" s="3">
        <v>45.850555555555559</v>
      </c>
      <c r="Y34" s="3">
        <v>3.0027777777777778</v>
      </c>
      <c r="Z34" s="4">
        <f>Table39[[#This Row],[LPN Hours Contract]]/Table39[[#This Row],[LPN Hours]]</f>
        <v>6.5490542947498509E-2</v>
      </c>
      <c r="AA34" s="3">
        <v>15.479444444444445</v>
      </c>
      <c r="AB34" s="3">
        <v>0</v>
      </c>
      <c r="AC34" s="4">
        <f>Table39[[#This Row],[LPN Admin Hours Contract]]/Table39[[#This Row],[LPN Admin Hours]]</f>
        <v>0</v>
      </c>
      <c r="AD34" s="3">
        <f>SUM(Table39[[#This Row],[CNA Hours]], Table39[[#This Row],[NA in Training Hours]], Table39[[#This Row],[Med Aide/Tech Hours]])</f>
        <v>275.95422222222226</v>
      </c>
      <c r="AE34" s="3">
        <f>SUM(Table39[[#This Row],[CNA Hours Contract]], Table39[[#This Row],[NA in Training Hours Contract]], Table39[[#This Row],[Med Aide/Tech Hours Contract]])</f>
        <v>21.367000000000001</v>
      </c>
      <c r="AF34" s="4">
        <f>Table39[[#This Row],[CNA/NA/Med Aide Contract Hours]]/Table39[[#This Row],[Total CNA, NA in Training, Med Aide/Tech Hours]]</f>
        <v>7.7429509242273667E-2</v>
      </c>
      <c r="AG34" s="3">
        <v>215.64988888888891</v>
      </c>
      <c r="AH34" s="3">
        <v>19.986444444444444</v>
      </c>
      <c r="AI34" s="4">
        <f>Table39[[#This Row],[CNA Hours Contract]]/Table39[[#This Row],[CNA Hours]]</f>
        <v>9.2680059087543634E-2</v>
      </c>
      <c r="AJ34" s="3">
        <v>31.469333333333331</v>
      </c>
      <c r="AK34" s="3">
        <v>0</v>
      </c>
      <c r="AL34" s="4">
        <f>Table39[[#This Row],[NA in Training Hours Contract]]/Table39[[#This Row],[NA in Training Hours]]</f>
        <v>0</v>
      </c>
      <c r="AM34" s="3">
        <v>28.835000000000001</v>
      </c>
      <c r="AN34" s="3">
        <v>1.3805555555555555</v>
      </c>
      <c r="AO34" s="4">
        <f>Table39[[#This Row],[Med Aide/Tech Hours Contract]]/Table39[[#This Row],[Med Aide/Tech Hours]]</f>
        <v>4.7877771997765058E-2</v>
      </c>
      <c r="AP34" s="1" t="s">
        <v>32</v>
      </c>
      <c r="AQ34" s="1">
        <v>10</v>
      </c>
    </row>
    <row r="35" spans="1:43" x14ac:dyDescent="0.2">
      <c r="A35" s="1" t="s">
        <v>128</v>
      </c>
      <c r="B35" s="1" t="s">
        <v>162</v>
      </c>
      <c r="C35" s="1" t="s">
        <v>278</v>
      </c>
      <c r="D35" s="1" t="s">
        <v>342</v>
      </c>
      <c r="E35" s="3">
        <v>25.366666666666667</v>
      </c>
      <c r="F35" s="3">
        <f t="shared" si="0"/>
        <v>111.16777777777779</v>
      </c>
      <c r="G35" s="3">
        <f>SUM(Table39[[#This Row],[RN Hours Contract (W/ Admin, DON)]], Table39[[#This Row],[LPN Contract Hours (w/ Admin)]], Table39[[#This Row],[CNA/NA/Med Aide Contract Hours]])</f>
        <v>22.819444444444443</v>
      </c>
      <c r="H35" s="4">
        <f>Table39[[#This Row],[Total Contract Hours]]/Table39[[#This Row],[Total Hours Nurse Staffing]]</f>
        <v>0.20527031214080815</v>
      </c>
      <c r="I35" s="3">
        <f>SUM(Table39[[#This Row],[RN Hours]], Table39[[#This Row],[RN Admin Hours]], Table39[[#This Row],[RN DON Hours]])</f>
        <v>20.748777777777779</v>
      </c>
      <c r="J35" s="3">
        <f t="shared" si="1"/>
        <v>0</v>
      </c>
      <c r="K35" s="4">
        <f>Table39[[#This Row],[RN Hours Contract (W/ Admin, DON)]]/Table39[[#This Row],[RN Hours (w/ Admin, DON)]]</f>
        <v>0</v>
      </c>
      <c r="L35" s="3">
        <v>9.3019999999999996</v>
      </c>
      <c r="M35" s="3">
        <v>0</v>
      </c>
      <c r="N35" s="4">
        <f>Table39[[#This Row],[RN Hours Contract]]/Table39[[#This Row],[RN Hours]]</f>
        <v>0</v>
      </c>
      <c r="O35" s="3">
        <v>6.3523333333333341</v>
      </c>
      <c r="P35" s="3">
        <v>0</v>
      </c>
      <c r="Q35" s="4">
        <f>Table39[[#This Row],[RN Admin Hours Contract]]/Table39[[#This Row],[RN Admin Hours]]</f>
        <v>0</v>
      </c>
      <c r="R35" s="3">
        <v>5.0944444444444441</v>
      </c>
      <c r="S35" s="3">
        <v>0</v>
      </c>
      <c r="T35" s="4">
        <f>Table39[[#This Row],[RN DON Hours Contract]]/Table39[[#This Row],[RN DON Hours]]</f>
        <v>0</v>
      </c>
      <c r="U35" s="3">
        <f>SUM(Table39[[#This Row],[LPN Hours]], Table39[[#This Row],[LPN Admin Hours]])</f>
        <v>18.790111111111109</v>
      </c>
      <c r="V35" s="3">
        <f>Table39[[#This Row],[LPN Hours Contract]]+Table39[[#This Row],[LPN Admin Hours Contract]]</f>
        <v>5.6138888888888889</v>
      </c>
      <c r="W35" s="4">
        <f t="shared" si="2"/>
        <v>0.29876826463092293</v>
      </c>
      <c r="X35" s="3">
        <v>18.790111111111109</v>
      </c>
      <c r="Y35" s="3">
        <v>5.6138888888888889</v>
      </c>
      <c r="Z35" s="4">
        <f>Table39[[#This Row],[LPN Hours Contract]]/Table39[[#This Row],[LPN Hours]]</f>
        <v>0.29876826463092293</v>
      </c>
      <c r="AA35" s="3">
        <v>0</v>
      </c>
      <c r="AB35" s="3">
        <v>0</v>
      </c>
      <c r="AC35" s="4">
        <v>0</v>
      </c>
      <c r="AD35" s="3">
        <f>SUM(Table39[[#This Row],[CNA Hours]], Table39[[#This Row],[NA in Training Hours]], Table39[[#This Row],[Med Aide/Tech Hours]])</f>
        <v>71.628888888888895</v>
      </c>
      <c r="AE35" s="3">
        <f>SUM(Table39[[#This Row],[CNA Hours Contract]], Table39[[#This Row],[NA in Training Hours Contract]], Table39[[#This Row],[Med Aide/Tech Hours Contract]])</f>
        <v>17.205555555555556</v>
      </c>
      <c r="AF35" s="4">
        <f>Table39[[#This Row],[CNA/NA/Med Aide Contract Hours]]/Table39[[#This Row],[Total CNA, NA in Training, Med Aide/Tech Hours]]</f>
        <v>0.24020413861570439</v>
      </c>
      <c r="AG35" s="3">
        <v>71.628888888888895</v>
      </c>
      <c r="AH35" s="3">
        <v>17.205555555555556</v>
      </c>
      <c r="AI35" s="4">
        <f>Table39[[#This Row],[CNA Hours Contract]]/Table39[[#This Row],[CNA Hours]]</f>
        <v>0.24020413861570439</v>
      </c>
      <c r="AJ35" s="3">
        <v>0</v>
      </c>
      <c r="AK35" s="3">
        <v>0</v>
      </c>
      <c r="AL35" s="4">
        <v>0</v>
      </c>
      <c r="AM35" s="3">
        <v>0</v>
      </c>
      <c r="AN35" s="3">
        <v>0</v>
      </c>
      <c r="AO35" s="4">
        <v>0</v>
      </c>
      <c r="AP35" s="1" t="s">
        <v>33</v>
      </c>
      <c r="AQ35" s="1">
        <v>10</v>
      </c>
    </row>
    <row r="36" spans="1:43" x14ac:dyDescent="0.2">
      <c r="A36" s="1" t="s">
        <v>128</v>
      </c>
      <c r="B36" s="1" t="s">
        <v>163</v>
      </c>
      <c r="C36" s="1" t="s">
        <v>263</v>
      </c>
      <c r="D36" s="1" t="s">
        <v>334</v>
      </c>
      <c r="E36" s="3">
        <v>76.922222222222217</v>
      </c>
      <c r="F36" s="3">
        <f t="shared" si="0"/>
        <v>393.20877777777775</v>
      </c>
      <c r="G36" s="3">
        <f>SUM(Table39[[#This Row],[RN Hours Contract (W/ Admin, DON)]], Table39[[#This Row],[LPN Contract Hours (w/ Admin)]], Table39[[#This Row],[CNA/NA/Med Aide Contract Hours]])</f>
        <v>19.217222222222226</v>
      </c>
      <c r="H36" s="4">
        <f>Table39[[#This Row],[Total Contract Hours]]/Table39[[#This Row],[Total Hours Nurse Staffing]]</f>
        <v>4.8872821026093305E-2</v>
      </c>
      <c r="I36" s="3">
        <f>SUM(Table39[[#This Row],[RN Hours]], Table39[[#This Row],[RN Admin Hours]], Table39[[#This Row],[RN DON Hours]])</f>
        <v>58.495666666666672</v>
      </c>
      <c r="J36" s="3">
        <f t="shared" si="1"/>
        <v>0.71</v>
      </c>
      <c r="K36" s="4">
        <f>Table39[[#This Row],[RN Hours Contract (W/ Admin, DON)]]/Table39[[#This Row],[RN Hours (w/ Admin, DON)]]</f>
        <v>1.2137651222027842E-2</v>
      </c>
      <c r="L36" s="3">
        <v>36.120555555555555</v>
      </c>
      <c r="M36" s="3">
        <v>0.71</v>
      </c>
      <c r="N36" s="4">
        <f>Table39[[#This Row],[RN Hours Contract]]/Table39[[#This Row],[RN Hours]]</f>
        <v>1.9656397557561867E-2</v>
      </c>
      <c r="O36" s="3">
        <v>16.775111111111112</v>
      </c>
      <c r="P36" s="3">
        <v>0</v>
      </c>
      <c r="Q36" s="4">
        <f>Table39[[#This Row],[RN Admin Hours Contract]]/Table39[[#This Row],[RN Admin Hours]]</f>
        <v>0</v>
      </c>
      <c r="R36" s="3">
        <v>5.6</v>
      </c>
      <c r="S36" s="3">
        <v>0</v>
      </c>
      <c r="T36" s="4">
        <f>Table39[[#This Row],[RN DON Hours Contract]]/Table39[[#This Row],[RN DON Hours]]</f>
        <v>0</v>
      </c>
      <c r="U36" s="3">
        <f>SUM(Table39[[#This Row],[LPN Hours]], Table39[[#This Row],[LPN Admin Hours]])</f>
        <v>78.899222222222221</v>
      </c>
      <c r="V36" s="3">
        <f>Table39[[#This Row],[LPN Hours Contract]]+Table39[[#This Row],[LPN Admin Hours Contract]]</f>
        <v>2.4018888888888887</v>
      </c>
      <c r="W36" s="4">
        <f t="shared" si="2"/>
        <v>3.044249133564195E-2</v>
      </c>
      <c r="X36" s="3">
        <v>78.899222222222221</v>
      </c>
      <c r="Y36" s="3">
        <v>2.4018888888888887</v>
      </c>
      <c r="Z36" s="4">
        <f>Table39[[#This Row],[LPN Hours Contract]]/Table39[[#This Row],[LPN Hours]]</f>
        <v>3.044249133564195E-2</v>
      </c>
      <c r="AA36" s="3">
        <v>0</v>
      </c>
      <c r="AB36" s="3">
        <v>0</v>
      </c>
      <c r="AC36" s="4">
        <v>0</v>
      </c>
      <c r="AD36" s="3">
        <f>SUM(Table39[[#This Row],[CNA Hours]], Table39[[#This Row],[NA in Training Hours]], Table39[[#This Row],[Med Aide/Tech Hours]])</f>
        <v>255.8138888888889</v>
      </c>
      <c r="AE36" s="3">
        <f>SUM(Table39[[#This Row],[CNA Hours Contract]], Table39[[#This Row],[NA in Training Hours Contract]], Table39[[#This Row],[Med Aide/Tech Hours Contract]])</f>
        <v>16.105333333333338</v>
      </c>
      <c r="AF36" s="4">
        <f>Table39[[#This Row],[CNA/NA/Med Aide Contract Hours]]/Table39[[#This Row],[Total CNA, NA in Training, Med Aide/Tech Hours]]</f>
        <v>6.2957228019502043E-2</v>
      </c>
      <c r="AG36" s="3">
        <v>236.71666666666667</v>
      </c>
      <c r="AH36" s="3">
        <v>16.105333333333338</v>
      </c>
      <c r="AI36" s="4">
        <f>Table39[[#This Row],[CNA Hours Contract]]/Table39[[#This Row],[CNA Hours]]</f>
        <v>6.8036330352742397E-2</v>
      </c>
      <c r="AJ36" s="3">
        <v>0</v>
      </c>
      <c r="AK36" s="3">
        <v>0</v>
      </c>
      <c r="AL36" s="4">
        <v>0</v>
      </c>
      <c r="AM36" s="3">
        <v>19.097222222222221</v>
      </c>
      <c r="AN36" s="3">
        <v>0</v>
      </c>
      <c r="AO36" s="4">
        <f>Table39[[#This Row],[Med Aide/Tech Hours Contract]]/Table39[[#This Row],[Med Aide/Tech Hours]]</f>
        <v>0</v>
      </c>
      <c r="AP36" s="1" t="s">
        <v>34</v>
      </c>
      <c r="AQ36" s="1">
        <v>10</v>
      </c>
    </row>
    <row r="37" spans="1:43" x14ac:dyDescent="0.2">
      <c r="A37" s="1" t="s">
        <v>128</v>
      </c>
      <c r="B37" s="1" t="s">
        <v>164</v>
      </c>
      <c r="C37" s="1" t="s">
        <v>281</v>
      </c>
      <c r="D37" s="1" t="s">
        <v>335</v>
      </c>
      <c r="E37" s="3">
        <v>31.9</v>
      </c>
      <c r="F37" s="3">
        <f t="shared" si="0"/>
        <v>152.07422222222223</v>
      </c>
      <c r="G37" s="3">
        <f>SUM(Table39[[#This Row],[RN Hours Contract (W/ Admin, DON)]], Table39[[#This Row],[LPN Contract Hours (w/ Admin)]], Table39[[#This Row],[CNA/NA/Med Aide Contract Hours]])</f>
        <v>10.155555555555555</v>
      </c>
      <c r="H37" s="4">
        <f>Table39[[#This Row],[Total Contract Hours]]/Table39[[#This Row],[Total Hours Nurse Staffing]]</f>
        <v>6.6780256424494464E-2</v>
      </c>
      <c r="I37" s="3">
        <f>SUM(Table39[[#This Row],[RN Hours]], Table39[[#This Row],[RN Admin Hours]], Table39[[#This Row],[RN DON Hours]])</f>
        <v>10.601444444444443</v>
      </c>
      <c r="J37" s="3">
        <f t="shared" si="1"/>
        <v>0</v>
      </c>
      <c r="K37" s="4">
        <f>Table39[[#This Row],[RN Hours Contract (W/ Admin, DON)]]/Table39[[#This Row],[RN Hours (w/ Admin, DON)]]</f>
        <v>0</v>
      </c>
      <c r="L37" s="3">
        <v>5.0014444444444441</v>
      </c>
      <c r="M37" s="3">
        <v>0</v>
      </c>
      <c r="N37" s="4">
        <f>Table39[[#This Row],[RN Hours Contract]]/Table39[[#This Row],[RN Hours]]</f>
        <v>0</v>
      </c>
      <c r="O37" s="3">
        <v>0</v>
      </c>
      <c r="P37" s="3">
        <v>0</v>
      </c>
      <c r="Q37" s="4">
        <v>0</v>
      </c>
      <c r="R37" s="3">
        <v>5.6</v>
      </c>
      <c r="S37" s="3">
        <v>0</v>
      </c>
      <c r="T37" s="4">
        <f>Table39[[#This Row],[RN DON Hours Contract]]/Table39[[#This Row],[RN DON Hours]]</f>
        <v>0</v>
      </c>
      <c r="U37" s="3">
        <f>SUM(Table39[[#This Row],[LPN Hours]], Table39[[#This Row],[LPN Admin Hours]])</f>
        <v>45.411555555555559</v>
      </c>
      <c r="V37" s="3">
        <f>Table39[[#This Row],[LPN Hours Contract]]+Table39[[#This Row],[LPN Admin Hours Contract]]</f>
        <v>7.2583333333333337</v>
      </c>
      <c r="W37" s="4">
        <f t="shared" si="2"/>
        <v>0.15983450125274037</v>
      </c>
      <c r="X37" s="3">
        <v>44.961555555555556</v>
      </c>
      <c r="Y37" s="3">
        <v>6.8083333333333336</v>
      </c>
      <c r="Z37" s="4">
        <f>Table39[[#This Row],[LPN Hours Contract]]/Table39[[#This Row],[LPN Hours]]</f>
        <v>0.15142566241776925</v>
      </c>
      <c r="AA37" s="3">
        <v>0.45</v>
      </c>
      <c r="AB37" s="3">
        <v>0.45</v>
      </c>
      <c r="AC37" s="4">
        <f>Table39[[#This Row],[LPN Admin Hours Contract]]/Table39[[#This Row],[LPN Admin Hours]]</f>
        <v>1</v>
      </c>
      <c r="AD37" s="3">
        <f>SUM(Table39[[#This Row],[CNA Hours]], Table39[[#This Row],[NA in Training Hours]], Table39[[#This Row],[Med Aide/Tech Hours]])</f>
        <v>96.061222222222227</v>
      </c>
      <c r="AE37" s="3">
        <f>SUM(Table39[[#This Row],[CNA Hours Contract]], Table39[[#This Row],[NA in Training Hours Contract]], Table39[[#This Row],[Med Aide/Tech Hours Contract]])</f>
        <v>2.8972222222222221</v>
      </c>
      <c r="AF37" s="4">
        <f>Table39[[#This Row],[CNA/NA/Med Aide Contract Hours]]/Table39[[#This Row],[Total CNA, NA in Training, Med Aide/Tech Hours]]</f>
        <v>3.0160164062039137E-2</v>
      </c>
      <c r="AG37" s="3">
        <v>88.181888888888892</v>
      </c>
      <c r="AH37" s="3">
        <v>2.8972222222222221</v>
      </c>
      <c r="AI37" s="4">
        <f>Table39[[#This Row],[CNA Hours Contract]]/Table39[[#This Row],[CNA Hours]]</f>
        <v>3.2855071021134344E-2</v>
      </c>
      <c r="AJ37" s="3">
        <v>0</v>
      </c>
      <c r="AK37" s="3">
        <v>0</v>
      </c>
      <c r="AL37" s="4">
        <v>0</v>
      </c>
      <c r="AM37" s="3">
        <v>7.8793333333333333</v>
      </c>
      <c r="AN37" s="3">
        <v>0</v>
      </c>
      <c r="AO37" s="4">
        <f>Table39[[#This Row],[Med Aide/Tech Hours Contract]]/Table39[[#This Row],[Med Aide/Tech Hours]]</f>
        <v>0</v>
      </c>
      <c r="AP37" s="1" t="s">
        <v>35</v>
      </c>
      <c r="AQ37" s="1">
        <v>10</v>
      </c>
    </row>
    <row r="38" spans="1:43" x14ac:dyDescent="0.2">
      <c r="A38" s="1" t="s">
        <v>128</v>
      </c>
      <c r="B38" s="1" t="s">
        <v>165</v>
      </c>
      <c r="C38" s="1" t="s">
        <v>283</v>
      </c>
      <c r="D38" s="1" t="s">
        <v>337</v>
      </c>
      <c r="E38" s="3">
        <v>100.14444444444445</v>
      </c>
      <c r="F38" s="3">
        <f t="shared" si="0"/>
        <v>495.03033333333337</v>
      </c>
      <c r="G38" s="3">
        <f>SUM(Table39[[#This Row],[RN Hours Contract (W/ Admin, DON)]], Table39[[#This Row],[LPN Contract Hours (w/ Admin)]], Table39[[#This Row],[CNA/NA/Med Aide Contract Hours]])</f>
        <v>152.21199999999999</v>
      </c>
      <c r="H38" s="4">
        <f>Table39[[#This Row],[Total Contract Hours]]/Table39[[#This Row],[Total Hours Nurse Staffing]]</f>
        <v>0.30748014768118581</v>
      </c>
      <c r="I38" s="3">
        <f>SUM(Table39[[#This Row],[RN Hours]], Table39[[#This Row],[RN Admin Hours]], Table39[[#This Row],[RN DON Hours]])</f>
        <v>55.742555555555555</v>
      </c>
      <c r="J38" s="3">
        <f t="shared" si="1"/>
        <v>12.176111111111112</v>
      </c>
      <c r="K38" s="4">
        <f>Table39[[#This Row],[RN Hours Contract (W/ Admin, DON)]]/Table39[[#This Row],[RN Hours (w/ Admin, DON)]]</f>
        <v>0.21843474863609094</v>
      </c>
      <c r="L38" s="3">
        <v>24.118555555555556</v>
      </c>
      <c r="M38" s="3">
        <v>7.0863333333333332</v>
      </c>
      <c r="N38" s="4">
        <f>Table39[[#This Row],[RN Hours Contract]]/Table39[[#This Row],[RN Hours]]</f>
        <v>0.29381250950167459</v>
      </c>
      <c r="O38" s="3">
        <v>21.02311111111111</v>
      </c>
      <c r="P38" s="3">
        <v>0</v>
      </c>
      <c r="Q38" s="4">
        <f>Table39[[#This Row],[RN Admin Hours Contract]]/Table39[[#This Row],[RN Admin Hours]]</f>
        <v>0</v>
      </c>
      <c r="R38" s="3">
        <v>10.600888888888889</v>
      </c>
      <c r="S38" s="3">
        <v>5.089777777777778</v>
      </c>
      <c r="T38" s="4">
        <f>Table39[[#This Row],[RN DON Hours Contract]]/Table39[[#This Row],[RN DON Hours]]</f>
        <v>0.48012745262451789</v>
      </c>
      <c r="U38" s="3">
        <f>SUM(Table39[[#This Row],[LPN Hours]], Table39[[#This Row],[LPN Admin Hours]])</f>
        <v>115.23933333333335</v>
      </c>
      <c r="V38" s="3">
        <f>Table39[[#This Row],[LPN Hours Contract]]+Table39[[#This Row],[LPN Admin Hours Contract]]</f>
        <v>27.817555555555554</v>
      </c>
      <c r="W38" s="4">
        <f t="shared" si="2"/>
        <v>0.24138941757926013</v>
      </c>
      <c r="X38" s="3">
        <v>97.209555555555568</v>
      </c>
      <c r="Y38" s="3">
        <v>27.817555555555554</v>
      </c>
      <c r="Z38" s="4">
        <f>Table39[[#This Row],[LPN Hours Contract]]/Table39[[#This Row],[LPN Hours]]</f>
        <v>0.28616071122409087</v>
      </c>
      <c r="AA38" s="3">
        <v>18.029777777777777</v>
      </c>
      <c r="AB38" s="3">
        <v>0</v>
      </c>
      <c r="AC38" s="4">
        <f>Table39[[#This Row],[LPN Admin Hours Contract]]/Table39[[#This Row],[LPN Admin Hours]]</f>
        <v>0</v>
      </c>
      <c r="AD38" s="3">
        <f>SUM(Table39[[#This Row],[CNA Hours]], Table39[[#This Row],[NA in Training Hours]], Table39[[#This Row],[Med Aide/Tech Hours]])</f>
        <v>324.04844444444444</v>
      </c>
      <c r="AE38" s="3">
        <f>SUM(Table39[[#This Row],[CNA Hours Contract]], Table39[[#This Row],[NA in Training Hours Contract]], Table39[[#This Row],[Med Aide/Tech Hours Contract]])</f>
        <v>112.21833333333332</v>
      </c>
      <c r="AF38" s="4">
        <f>Table39[[#This Row],[CNA/NA/Med Aide Contract Hours]]/Table39[[#This Row],[Total CNA, NA in Training, Med Aide/Tech Hours]]</f>
        <v>0.3463011017557045</v>
      </c>
      <c r="AG38" s="3">
        <v>249.81333333333333</v>
      </c>
      <c r="AH38" s="3">
        <v>110.74611111111109</v>
      </c>
      <c r="AI38" s="4">
        <f>Table39[[#This Row],[CNA Hours Contract]]/Table39[[#This Row],[CNA Hours]]</f>
        <v>0.44331545331625383</v>
      </c>
      <c r="AJ38" s="3">
        <v>28.893555555555558</v>
      </c>
      <c r="AK38" s="3">
        <v>0</v>
      </c>
      <c r="AL38" s="4">
        <f>Table39[[#This Row],[NA in Training Hours Contract]]/Table39[[#This Row],[NA in Training Hours]]</f>
        <v>0</v>
      </c>
      <c r="AM38" s="3">
        <v>45.341555555555558</v>
      </c>
      <c r="AN38" s="3">
        <v>1.4722222222222223</v>
      </c>
      <c r="AO38" s="4">
        <f>Table39[[#This Row],[Med Aide/Tech Hours Contract]]/Table39[[#This Row],[Med Aide/Tech Hours]]</f>
        <v>3.2469601101760955E-2</v>
      </c>
      <c r="AP38" s="1" t="s">
        <v>36</v>
      </c>
      <c r="AQ38" s="1">
        <v>10</v>
      </c>
    </row>
    <row r="39" spans="1:43" x14ac:dyDescent="0.2">
      <c r="A39" s="1" t="s">
        <v>128</v>
      </c>
      <c r="B39" s="1" t="s">
        <v>166</v>
      </c>
      <c r="C39" s="1" t="s">
        <v>283</v>
      </c>
      <c r="D39" s="1" t="s">
        <v>337</v>
      </c>
      <c r="E39" s="3">
        <v>111.28888888888889</v>
      </c>
      <c r="F39" s="3">
        <f t="shared" si="0"/>
        <v>456.59922222222224</v>
      </c>
      <c r="G39" s="3">
        <f>SUM(Table39[[#This Row],[RN Hours Contract (W/ Admin, DON)]], Table39[[#This Row],[LPN Contract Hours (w/ Admin)]], Table39[[#This Row],[CNA/NA/Med Aide Contract Hours]])</f>
        <v>216.42477777777776</v>
      </c>
      <c r="H39" s="4">
        <f>Table39[[#This Row],[Total Contract Hours]]/Table39[[#This Row],[Total Hours Nurse Staffing]]</f>
        <v>0.47399287437341714</v>
      </c>
      <c r="I39" s="3">
        <f>SUM(Table39[[#This Row],[RN Hours]], Table39[[#This Row],[RN Admin Hours]], Table39[[#This Row],[RN DON Hours]])</f>
        <v>54.338222222222221</v>
      </c>
      <c r="J39" s="3">
        <f t="shared" si="1"/>
        <v>20.613888888888887</v>
      </c>
      <c r="K39" s="4">
        <f>Table39[[#This Row],[RN Hours Contract (W/ Admin, DON)]]/Table39[[#This Row],[RN Hours (w/ Admin, DON)]]</f>
        <v>0.37936259314090343</v>
      </c>
      <c r="L39" s="3">
        <v>20.611111111111111</v>
      </c>
      <c r="M39" s="3">
        <v>18.472222222222221</v>
      </c>
      <c r="N39" s="4">
        <f>Table39[[#This Row],[RN Hours Contract]]/Table39[[#This Row],[RN Hours]]</f>
        <v>0.89622641509433965</v>
      </c>
      <c r="O39" s="3">
        <v>28.30488888888889</v>
      </c>
      <c r="P39" s="3">
        <v>2.1416666666666666</v>
      </c>
      <c r="Q39" s="4">
        <f>Table39[[#This Row],[RN Admin Hours Contract]]/Table39[[#This Row],[RN Admin Hours]]</f>
        <v>7.56641962126684E-2</v>
      </c>
      <c r="R39" s="3">
        <v>5.4222222222222225</v>
      </c>
      <c r="S39" s="3">
        <v>0</v>
      </c>
      <c r="T39" s="4">
        <f>Table39[[#This Row],[RN DON Hours Contract]]/Table39[[#This Row],[RN DON Hours]]</f>
        <v>0</v>
      </c>
      <c r="U39" s="3">
        <f>SUM(Table39[[#This Row],[LPN Hours]], Table39[[#This Row],[LPN Admin Hours]])</f>
        <v>101.11588888888888</v>
      </c>
      <c r="V39" s="3">
        <f>Table39[[#This Row],[LPN Hours Contract]]+Table39[[#This Row],[LPN Admin Hours Contract]]</f>
        <v>58.702777777777776</v>
      </c>
      <c r="W39" s="4">
        <f t="shared" si="2"/>
        <v>0.58054949051857996</v>
      </c>
      <c r="X39" s="3">
        <v>95.248666666666651</v>
      </c>
      <c r="Y39" s="3">
        <v>58.702777777777776</v>
      </c>
      <c r="Z39" s="4">
        <f>Table39[[#This Row],[LPN Hours Contract]]/Table39[[#This Row],[LPN Hours]]</f>
        <v>0.61631075617273157</v>
      </c>
      <c r="AA39" s="3">
        <v>5.8672222222222219</v>
      </c>
      <c r="AB39" s="3">
        <v>0</v>
      </c>
      <c r="AC39" s="4">
        <f>Table39[[#This Row],[LPN Admin Hours Contract]]/Table39[[#This Row],[LPN Admin Hours]]</f>
        <v>0</v>
      </c>
      <c r="AD39" s="3">
        <f>SUM(Table39[[#This Row],[CNA Hours]], Table39[[#This Row],[NA in Training Hours]], Table39[[#This Row],[Med Aide/Tech Hours]])</f>
        <v>301.14511111111113</v>
      </c>
      <c r="AE39" s="3">
        <f>SUM(Table39[[#This Row],[CNA Hours Contract]], Table39[[#This Row],[NA in Training Hours Contract]], Table39[[#This Row],[Med Aide/Tech Hours Contract]])</f>
        <v>137.1081111111111</v>
      </c>
      <c r="AF39" s="4">
        <f>Table39[[#This Row],[CNA/NA/Med Aide Contract Hours]]/Table39[[#This Row],[Total CNA, NA in Training, Med Aide/Tech Hours]]</f>
        <v>0.4552891813691885</v>
      </c>
      <c r="AG39" s="3">
        <v>258.38444444444445</v>
      </c>
      <c r="AH39" s="3">
        <v>132.54977777777776</v>
      </c>
      <c r="AI39" s="4">
        <f>Table39[[#This Row],[CNA Hours Contract]]/Table39[[#This Row],[CNA Hours]]</f>
        <v>0.51299441830863568</v>
      </c>
      <c r="AJ39" s="3">
        <v>14.944555555555555</v>
      </c>
      <c r="AK39" s="3">
        <v>0</v>
      </c>
      <c r="AL39" s="4">
        <f>Table39[[#This Row],[NA in Training Hours Contract]]/Table39[[#This Row],[NA in Training Hours]]</f>
        <v>0</v>
      </c>
      <c r="AM39" s="3">
        <v>27.816111111111109</v>
      </c>
      <c r="AN39" s="3">
        <v>4.5583333333333336</v>
      </c>
      <c r="AO39" s="4">
        <f>Table39[[#This Row],[Med Aide/Tech Hours Contract]]/Table39[[#This Row],[Med Aide/Tech Hours]]</f>
        <v>0.16387385408136773</v>
      </c>
      <c r="AP39" s="1" t="s">
        <v>37</v>
      </c>
      <c r="AQ39" s="1">
        <v>10</v>
      </c>
    </row>
    <row r="40" spans="1:43" x14ac:dyDescent="0.2">
      <c r="A40" s="1" t="s">
        <v>128</v>
      </c>
      <c r="B40" s="1" t="s">
        <v>167</v>
      </c>
      <c r="C40" s="1" t="s">
        <v>291</v>
      </c>
      <c r="D40" s="1" t="s">
        <v>339</v>
      </c>
      <c r="E40" s="3">
        <v>43.388888888888886</v>
      </c>
      <c r="F40" s="3">
        <f t="shared" si="0"/>
        <v>213.29333333333332</v>
      </c>
      <c r="G40" s="3">
        <f>SUM(Table39[[#This Row],[RN Hours Contract (W/ Admin, DON)]], Table39[[#This Row],[LPN Contract Hours (w/ Admin)]], Table39[[#This Row],[CNA/NA/Med Aide Contract Hours]])</f>
        <v>0</v>
      </c>
      <c r="H40" s="4">
        <f>Table39[[#This Row],[Total Contract Hours]]/Table39[[#This Row],[Total Hours Nurse Staffing]]</f>
        <v>0</v>
      </c>
      <c r="I40" s="3">
        <f>SUM(Table39[[#This Row],[RN Hours]], Table39[[#This Row],[RN Admin Hours]], Table39[[#This Row],[RN DON Hours]])</f>
        <v>23.751888888888889</v>
      </c>
      <c r="J40" s="3">
        <f t="shared" si="1"/>
        <v>0</v>
      </c>
      <c r="K40" s="4">
        <f>Table39[[#This Row],[RN Hours Contract (W/ Admin, DON)]]/Table39[[#This Row],[RN Hours (w/ Admin, DON)]]</f>
        <v>0</v>
      </c>
      <c r="L40" s="3">
        <v>11.465444444444445</v>
      </c>
      <c r="M40" s="3">
        <v>0</v>
      </c>
      <c r="N40" s="4">
        <f>Table39[[#This Row],[RN Hours Contract]]/Table39[[#This Row],[RN Hours]]</f>
        <v>0</v>
      </c>
      <c r="O40" s="3">
        <v>7.5419999999999998</v>
      </c>
      <c r="P40" s="3">
        <v>0</v>
      </c>
      <c r="Q40" s="4">
        <f>Table39[[#This Row],[RN Admin Hours Contract]]/Table39[[#This Row],[RN Admin Hours]]</f>
        <v>0</v>
      </c>
      <c r="R40" s="3">
        <v>4.7444444444444445</v>
      </c>
      <c r="S40" s="3">
        <v>0</v>
      </c>
      <c r="T40" s="4">
        <f>Table39[[#This Row],[RN DON Hours Contract]]/Table39[[#This Row],[RN DON Hours]]</f>
        <v>0</v>
      </c>
      <c r="U40" s="3">
        <f>SUM(Table39[[#This Row],[LPN Hours]], Table39[[#This Row],[LPN Admin Hours]])</f>
        <v>38.782666666666671</v>
      </c>
      <c r="V40" s="3">
        <f>Table39[[#This Row],[LPN Hours Contract]]+Table39[[#This Row],[LPN Admin Hours Contract]]</f>
        <v>0</v>
      </c>
      <c r="W40" s="4">
        <f t="shared" si="2"/>
        <v>0</v>
      </c>
      <c r="X40" s="3">
        <v>31.693777777777779</v>
      </c>
      <c r="Y40" s="3">
        <v>0</v>
      </c>
      <c r="Z40" s="4">
        <f>Table39[[#This Row],[LPN Hours Contract]]/Table39[[#This Row],[LPN Hours]]</f>
        <v>0</v>
      </c>
      <c r="AA40" s="3">
        <v>7.0888888888888886</v>
      </c>
      <c r="AB40" s="3">
        <v>0</v>
      </c>
      <c r="AC40" s="4">
        <f>Table39[[#This Row],[LPN Admin Hours Contract]]/Table39[[#This Row],[LPN Admin Hours]]</f>
        <v>0</v>
      </c>
      <c r="AD40" s="3">
        <f>SUM(Table39[[#This Row],[CNA Hours]], Table39[[#This Row],[NA in Training Hours]], Table39[[#This Row],[Med Aide/Tech Hours]])</f>
        <v>150.75877777777777</v>
      </c>
      <c r="AE40" s="3">
        <f>SUM(Table39[[#This Row],[CNA Hours Contract]], Table39[[#This Row],[NA in Training Hours Contract]], Table39[[#This Row],[Med Aide/Tech Hours Contract]])</f>
        <v>0</v>
      </c>
      <c r="AF40" s="4">
        <f>Table39[[#This Row],[CNA/NA/Med Aide Contract Hours]]/Table39[[#This Row],[Total CNA, NA in Training, Med Aide/Tech Hours]]</f>
        <v>0</v>
      </c>
      <c r="AG40" s="3">
        <v>112.85788888888888</v>
      </c>
      <c r="AH40" s="3">
        <v>0</v>
      </c>
      <c r="AI40" s="4">
        <f>Table39[[#This Row],[CNA Hours Contract]]/Table39[[#This Row],[CNA Hours]]</f>
        <v>0</v>
      </c>
      <c r="AJ40" s="3">
        <v>32.355777777777774</v>
      </c>
      <c r="AK40" s="3">
        <v>0</v>
      </c>
      <c r="AL40" s="4">
        <f>Table39[[#This Row],[NA in Training Hours Contract]]/Table39[[#This Row],[NA in Training Hours]]</f>
        <v>0</v>
      </c>
      <c r="AM40" s="3">
        <v>5.5451111111111127</v>
      </c>
      <c r="AN40" s="3">
        <v>0</v>
      </c>
      <c r="AO40" s="4">
        <f>Table39[[#This Row],[Med Aide/Tech Hours Contract]]/Table39[[#This Row],[Med Aide/Tech Hours]]</f>
        <v>0</v>
      </c>
      <c r="AP40" s="1" t="s">
        <v>38</v>
      </c>
      <c r="AQ40" s="1">
        <v>10</v>
      </c>
    </row>
    <row r="41" spans="1:43" x14ac:dyDescent="0.2">
      <c r="A41" s="1" t="s">
        <v>128</v>
      </c>
      <c r="B41" s="1" t="s">
        <v>168</v>
      </c>
      <c r="C41" s="1" t="s">
        <v>290</v>
      </c>
      <c r="D41" s="1" t="s">
        <v>330</v>
      </c>
      <c r="E41" s="3">
        <v>65.077777777777783</v>
      </c>
      <c r="F41" s="3">
        <f t="shared" si="0"/>
        <v>431.47088888888879</v>
      </c>
      <c r="G41" s="3">
        <f>SUM(Table39[[#This Row],[RN Hours Contract (W/ Admin, DON)]], Table39[[#This Row],[LPN Contract Hours (w/ Admin)]], Table39[[#This Row],[CNA/NA/Med Aide Contract Hours]])</f>
        <v>189.0071111111111</v>
      </c>
      <c r="H41" s="4">
        <f>Table39[[#This Row],[Total Contract Hours]]/Table39[[#This Row],[Total Hours Nurse Staffing]]</f>
        <v>0.43805298567844675</v>
      </c>
      <c r="I41" s="3">
        <f>SUM(Table39[[#This Row],[RN Hours]], Table39[[#This Row],[RN Admin Hours]], Table39[[#This Row],[RN DON Hours]])</f>
        <v>37.171888888888887</v>
      </c>
      <c r="J41" s="3">
        <f t="shared" ref="J41:J104" si="3">SUM(M41,P41,S41)</f>
        <v>14.027777777777779</v>
      </c>
      <c r="K41" s="4">
        <f>Table39[[#This Row],[RN Hours Contract (W/ Admin, DON)]]/Table39[[#This Row],[RN Hours (w/ Admin, DON)]]</f>
        <v>0.37737597407838064</v>
      </c>
      <c r="L41" s="3">
        <v>17.794444444444444</v>
      </c>
      <c r="M41" s="3">
        <v>14.027777777777779</v>
      </c>
      <c r="N41" s="4">
        <f>Table39[[#This Row],[RN Hours Contract]]/Table39[[#This Row],[RN Hours]]</f>
        <v>0.7883234467686544</v>
      </c>
      <c r="O41" s="3">
        <v>14.216333333333333</v>
      </c>
      <c r="P41" s="3">
        <v>0</v>
      </c>
      <c r="Q41" s="4">
        <f>Table39[[#This Row],[RN Admin Hours Contract]]/Table39[[#This Row],[RN Admin Hours]]</f>
        <v>0</v>
      </c>
      <c r="R41" s="3">
        <v>5.1611111111111114</v>
      </c>
      <c r="S41" s="3">
        <v>0</v>
      </c>
      <c r="T41" s="4">
        <f>Table39[[#This Row],[RN DON Hours Contract]]/Table39[[#This Row],[RN DON Hours]]</f>
        <v>0</v>
      </c>
      <c r="U41" s="3">
        <f>SUM(Table39[[#This Row],[LPN Hours]], Table39[[#This Row],[LPN Admin Hours]])</f>
        <v>122.71088888888887</v>
      </c>
      <c r="V41" s="3">
        <f>Table39[[#This Row],[LPN Hours Contract]]+Table39[[#This Row],[LPN Admin Hours Contract]]</f>
        <v>67.498666666666665</v>
      </c>
      <c r="W41" s="4">
        <f t="shared" ref="W41:W104" si="4">V41/U41</f>
        <v>0.5500625680234843</v>
      </c>
      <c r="X41" s="3">
        <v>116.6431111111111</v>
      </c>
      <c r="Y41" s="3">
        <v>67.498666666666665</v>
      </c>
      <c r="Z41" s="4">
        <f>Table39[[#This Row],[LPN Hours Contract]]/Table39[[#This Row],[LPN Hours]]</f>
        <v>0.57867683760911737</v>
      </c>
      <c r="AA41" s="3">
        <v>6.0677777777777777</v>
      </c>
      <c r="AB41" s="3">
        <v>0</v>
      </c>
      <c r="AC41" s="4">
        <f>Table39[[#This Row],[LPN Admin Hours Contract]]/Table39[[#This Row],[LPN Admin Hours]]</f>
        <v>0</v>
      </c>
      <c r="AD41" s="3">
        <f>SUM(Table39[[#This Row],[CNA Hours]], Table39[[#This Row],[NA in Training Hours]], Table39[[#This Row],[Med Aide/Tech Hours]])</f>
        <v>271.58811111111106</v>
      </c>
      <c r="AE41" s="3">
        <f>SUM(Table39[[#This Row],[CNA Hours Contract]], Table39[[#This Row],[NA in Training Hours Contract]], Table39[[#This Row],[Med Aide/Tech Hours Contract]])</f>
        <v>107.48066666666665</v>
      </c>
      <c r="AF41" s="4">
        <f>Table39[[#This Row],[CNA/NA/Med Aide Contract Hours]]/Table39[[#This Row],[Total CNA, NA in Training, Med Aide/Tech Hours]]</f>
        <v>0.39574879116374345</v>
      </c>
      <c r="AG41" s="3">
        <v>231.08533333333332</v>
      </c>
      <c r="AH41" s="3">
        <v>102.22688888888887</v>
      </c>
      <c r="AI41" s="4">
        <f>Table39[[#This Row],[CNA Hours Contract]]/Table39[[#This Row],[CNA Hours]]</f>
        <v>0.44237722669066926</v>
      </c>
      <c r="AJ41" s="3">
        <v>7.3158888888888898</v>
      </c>
      <c r="AK41" s="3">
        <v>0</v>
      </c>
      <c r="AL41" s="4">
        <f>Table39[[#This Row],[NA in Training Hours Contract]]/Table39[[#This Row],[NA in Training Hours]]</f>
        <v>0</v>
      </c>
      <c r="AM41" s="3">
        <v>33.186888888888888</v>
      </c>
      <c r="AN41" s="3">
        <v>5.2537777777777777</v>
      </c>
      <c r="AO41" s="4">
        <f>Table39[[#This Row],[Med Aide/Tech Hours Contract]]/Table39[[#This Row],[Med Aide/Tech Hours]]</f>
        <v>0.15830883682310953</v>
      </c>
      <c r="AP41" s="1" t="s">
        <v>39</v>
      </c>
      <c r="AQ41" s="1">
        <v>10</v>
      </c>
    </row>
    <row r="42" spans="1:43" x14ac:dyDescent="0.2">
      <c r="A42" s="1" t="s">
        <v>128</v>
      </c>
      <c r="B42" s="1" t="s">
        <v>169</v>
      </c>
      <c r="C42" s="1" t="s">
        <v>276</v>
      </c>
      <c r="D42" s="1" t="s">
        <v>335</v>
      </c>
      <c r="E42" s="3">
        <v>38.344444444444441</v>
      </c>
      <c r="F42" s="3">
        <f t="shared" si="0"/>
        <v>173.51599999999999</v>
      </c>
      <c r="G42" s="3">
        <f>SUM(Table39[[#This Row],[RN Hours Contract (W/ Admin, DON)]], Table39[[#This Row],[LPN Contract Hours (w/ Admin)]], Table39[[#This Row],[CNA/NA/Med Aide Contract Hours]])</f>
        <v>9.2875555555555565</v>
      </c>
      <c r="H42" s="4">
        <f>Table39[[#This Row],[Total Contract Hours]]/Table39[[#This Row],[Total Hours Nurse Staffing]]</f>
        <v>5.3525643488528764E-2</v>
      </c>
      <c r="I42" s="3">
        <f>SUM(Table39[[#This Row],[RN Hours]], Table39[[#This Row],[RN Admin Hours]], Table39[[#This Row],[RN DON Hours]])</f>
        <v>31.912666666666667</v>
      </c>
      <c r="J42" s="3">
        <f t="shared" si="3"/>
        <v>0</v>
      </c>
      <c r="K42" s="4">
        <f>Table39[[#This Row],[RN Hours Contract (W/ Admin, DON)]]/Table39[[#This Row],[RN Hours (w/ Admin, DON)]]</f>
        <v>0</v>
      </c>
      <c r="L42" s="3">
        <v>15.119444444444444</v>
      </c>
      <c r="M42" s="3">
        <v>0</v>
      </c>
      <c r="N42" s="4">
        <f>Table39[[#This Row],[RN Hours Contract]]/Table39[[#This Row],[RN Hours]]</f>
        <v>0</v>
      </c>
      <c r="O42" s="3">
        <v>11.104333333333333</v>
      </c>
      <c r="P42" s="3">
        <v>0</v>
      </c>
      <c r="Q42" s="4">
        <f>Table39[[#This Row],[RN Admin Hours Contract]]/Table39[[#This Row],[RN Admin Hours]]</f>
        <v>0</v>
      </c>
      <c r="R42" s="3">
        <v>5.6888888888888891</v>
      </c>
      <c r="S42" s="3">
        <v>0</v>
      </c>
      <c r="T42" s="4">
        <f>Table39[[#This Row],[RN DON Hours Contract]]/Table39[[#This Row],[RN DON Hours]]</f>
        <v>0</v>
      </c>
      <c r="U42" s="3">
        <f>SUM(Table39[[#This Row],[LPN Hours]], Table39[[#This Row],[LPN Admin Hours]])</f>
        <v>36.892555555555553</v>
      </c>
      <c r="V42" s="3">
        <f>Table39[[#This Row],[LPN Hours Contract]]+Table39[[#This Row],[LPN Admin Hours Contract]]</f>
        <v>6.2934444444444457</v>
      </c>
      <c r="W42" s="4">
        <f t="shared" si="4"/>
        <v>0.1705884656043225</v>
      </c>
      <c r="X42" s="3">
        <v>31.115444444444442</v>
      </c>
      <c r="Y42" s="3">
        <v>6.2934444444444457</v>
      </c>
      <c r="Z42" s="4">
        <f>Table39[[#This Row],[LPN Hours Contract]]/Table39[[#This Row],[LPN Hours]]</f>
        <v>0.20226111363060151</v>
      </c>
      <c r="AA42" s="3">
        <v>5.777111111111112</v>
      </c>
      <c r="AB42" s="3">
        <v>0</v>
      </c>
      <c r="AC42" s="4">
        <f>Table39[[#This Row],[LPN Admin Hours Contract]]/Table39[[#This Row],[LPN Admin Hours]]</f>
        <v>0</v>
      </c>
      <c r="AD42" s="3">
        <f>SUM(Table39[[#This Row],[CNA Hours]], Table39[[#This Row],[NA in Training Hours]], Table39[[#This Row],[Med Aide/Tech Hours]])</f>
        <v>104.71077777777776</v>
      </c>
      <c r="AE42" s="3">
        <f>SUM(Table39[[#This Row],[CNA Hours Contract]], Table39[[#This Row],[NA in Training Hours Contract]], Table39[[#This Row],[Med Aide/Tech Hours Contract]])</f>
        <v>2.9941111111111107</v>
      </c>
      <c r="AF42" s="4">
        <f>Table39[[#This Row],[CNA/NA/Med Aide Contract Hours]]/Table39[[#This Row],[Total CNA, NA in Training, Med Aide/Tech Hours]]</f>
        <v>2.8594106305516676E-2</v>
      </c>
      <c r="AG42" s="3">
        <v>90.61088888888888</v>
      </c>
      <c r="AH42" s="3">
        <v>2.57</v>
      </c>
      <c r="AI42" s="4">
        <f>Table39[[#This Row],[CNA Hours Contract]]/Table39[[#This Row],[CNA Hours]]</f>
        <v>2.8363037064468584E-2</v>
      </c>
      <c r="AJ42" s="3">
        <v>11.600888888888891</v>
      </c>
      <c r="AK42" s="3">
        <v>0</v>
      </c>
      <c r="AL42" s="4">
        <f>Table39[[#This Row],[NA in Training Hours Contract]]/Table39[[#This Row],[NA in Training Hours]]</f>
        <v>0</v>
      </c>
      <c r="AM42" s="3">
        <v>2.4990000000000001</v>
      </c>
      <c r="AN42" s="3">
        <v>0.42411111111111111</v>
      </c>
      <c r="AO42" s="4">
        <f>Table39[[#This Row],[Med Aide/Tech Hours Contract]]/Table39[[#This Row],[Med Aide/Tech Hours]]</f>
        <v>0.1697123293761949</v>
      </c>
      <c r="AP42" s="1" t="s">
        <v>40</v>
      </c>
      <c r="AQ42" s="1">
        <v>10</v>
      </c>
    </row>
    <row r="43" spans="1:43" x14ac:dyDescent="0.2">
      <c r="A43" s="1" t="s">
        <v>128</v>
      </c>
      <c r="B43" s="1" t="s">
        <v>170</v>
      </c>
      <c r="C43" s="1" t="s">
        <v>292</v>
      </c>
      <c r="D43" s="1" t="s">
        <v>321</v>
      </c>
      <c r="E43" s="3">
        <v>45.611111111111114</v>
      </c>
      <c r="F43" s="3">
        <f t="shared" si="0"/>
        <v>257.03399999999999</v>
      </c>
      <c r="G43" s="3">
        <f>SUM(Table39[[#This Row],[RN Hours Contract (W/ Admin, DON)]], Table39[[#This Row],[LPN Contract Hours (w/ Admin)]], Table39[[#This Row],[CNA/NA/Med Aide Contract Hours]])</f>
        <v>0.2</v>
      </c>
      <c r="H43" s="4">
        <f>Table39[[#This Row],[Total Contract Hours]]/Table39[[#This Row],[Total Hours Nurse Staffing]]</f>
        <v>7.7810717648248877E-4</v>
      </c>
      <c r="I43" s="3">
        <f>SUM(Table39[[#This Row],[RN Hours]], Table39[[#This Row],[RN Admin Hours]], Table39[[#This Row],[RN DON Hours]])</f>
        <v>52.927111111111124</v>
      </c>
      <c r="J43" s="3">
        <f t="shared" si="3"/>
        <v>6.6666666666666666E-2</v>
      </c>
      <c r="K43" s="4">
        <f>Table39[[#This Row],[RN Hours Contract (W/ Admin, DON)]]/Table39[[#This Row],[RN Hours (w/ Admin, DON)]]</f>
        <v>1.2595939069244071E-3</v>
      </c>
      <c r="L43" s="3">
        <v>30.882333333333332</v>
      </c>
      <c r="M43" s="3">
        <v>0</v>
      </c>
      <c r="N43" s="4">
        <f>Table39[[#This Row],[RN Hours Contract]]/Table39[[#This Row],[RN Hours]]</f>
        <v>0</v>
      </c>
      <c r="O43" s="3">
        <v>16.428111111111122</v>
      </c>
      <c r="P43" s="3">
        <v>6.6666666666666666E-2</v>
      </c>
      <c r="Q43" s="4">
        <f>Table39[[#This Row],[RN Admin Hours Contract]]/Table39[[#This Row],[RN Admin Hours]]</f>
        <v>4.0580847192819873E-3</v>
      </c>
      <c r="R43" s="3">
        <v>5.6166666666666663</v>
      </c>
      <c r="S43" s="3">
        <v>0</v>
      </c>
      <c r="T43" s="4">
        <f>Table39[[#This Row],[RN DON Hours Contract]]/Table39[[#This Row],[RN DON Hours]]</f>
        <v>0</v>
      </c>
      <c r="U43" s="3">
        <f>SUM(Table39[[#This Row],[LPN Hours]], Table39[[#This Row],[LPN Admin Hours]])</f>
        <v>41.324888888888893</v>
      </c>
      <c r="V43" s="3">
        <f>Table39[[#This Row],[LPN Hours Contract]]+Table39[[#This Row],[LPN Admin Hours Contract]]</f>
        <v>0</v>
      </c>
      <c r="W43" s="4">
        <f t="shared" si="4"/>
        <v>0</v>
      </c>
      <c r="X43" s="3">
        <v>35.564222222222227</v>
      </c>
      <c r="Y43" s="3">
        <v>0</v>
      </c>
      <c r="Z43" s="4">
        <f>Table39[[#This Row],[LPN Hours Contract]]/Table39[[#This Row],[LPN Hours]]</f>
        <v>0</v>
      </c>
      <c r="AA43" s="3">
        <v>5.7606666666666673</v>
      </c>
      <c r="AB43" s="3">
        <v>0</v>
      </c>
      <c r="AC43" s="4">
        <f>Table39[[#This Row],[LPN Admin Hours Contract]]/Table39[[#This Row],[LPN Admin Hours]]</f>
        <v>0</v>
      </c>
      <c r="AD43" s="3">
        <f>SUM(Table39[[#This Row],[CNA Hours]], Table39[[#This Row],[NA in Training Hours]], Table39[[#This Row],[Med Aide/Tech Hours]])</f>
        <v>162.78199999999998</v>
      </c>
      <c r="AE43" s="3">
        <f>SUM(Table39[[#This Row],[CNA Hours Contract]], Table39[[#This Row],[NA in Training Hours Contract]], Table39[[#This Row],[Med Aide/Tech Hours Contract]])</f>
        <v>0.13333333333333333</v>
      </c>
      <c r="AF43" s="4">
        <f>Table39[[#This Row],[CNA/NA/Med Aide Contract Hours]]/Table39[[#This Row],[Total CNA, NA in Training, Med Aide/Tech Hours]]</f>
        <v>8.1909138193002513E-4</v>
      </c>
      <c r="AG43" s="3">
        <v>138.95011111111111</v>
      </c>
      <c r="AH43" s="3">
        <v>0.13333333333333333</v>
      </c>
      <c r="AI43" s="4">
        <f>Table39[[#This Row],[CNA Hours Contract]]/Table39[[#This Row],[CNA Hours]]</f>
        <v>9.5957701845026712E-4</v>
      </c>
      <c r="AJ43" s="3">
        <v>10.386888888888889</v>
      </c>
      <c r="AK43" s="3">
        <v>0</v>
      </c>
      <c r="AL43" s="4">
        <f>Table39[[#This Row],[NA in Training Hours Contract]]/Table39[[#This Row],[NA in Training Hours]]</f>
        <v>0</v>
      </c>
      <c r="AM43" s="3">
        <v>13.444999999999997</v>
      </c>
      <c r="AN43" s="3">
        <v>0</v>
      </c>
      <c r="AO43" s="4">
        <f>Table39[[#This Row],[Med Aide/Tech Hours Contract]]/Table39[[#This Row],[Med Aide/Tech Hours]]</f>
        <v>0</v>
      </c>
      <c r="AP43" s="1" t="s">
        <v>41</v>
      </c>
      <c r="AQ43" s="1">
        <v>10</v>
      </c>
    </row>
    <row r="44" spans="1:43" x14ac:dyDescent="0.2">
      <c r="A44" s="1" t="s">
        <v>128</v>
      </c>
      <c r="B44" s="1" t="s">
        <v>171</v>
      </c>
      <c r="C44" s="1" t="s">
        <v>281</v>
      </c>
      <c r="D44" s="1" t="s">
        <v>335</v>
      </c>
      <c r="E44" s="3">
        <v>100.47777777777777</v>
      </c>
      <c r="F44" s="3">
        <f t="shared" si="0"/>
        <v>488.20944444444444</v>
      </c>
      <c r="G44" s="3">
        <f>SUM(Table39[[#This Row],[RN Hours Contract (W/ Admin, DON)]], Table39[[#This Row],[LPN Contract Hours (w/ Admin)]], Table39[[#This Row],[CNA/NA/Med Aide Contract Hours]])</f>
        <v>44.235444444444447</v>
      </c>
      <c r="H44" s="4">
        <f>Table39[[#This Row],[Total Contract Hours]]/Table39[[#This Row],[Total Hours Nurse Staffing]]</f>
        <v>9.0607514761993094E-2</v>
      </c>
      <c r="I44" s="3">
        <f>SUM(Table39[[#This Row],[RN Hours]], Table39[[#This Row],[RN Admin Hours]], Table39[[#This Row],[RN DON Hours]])</f>
        <v>47.539777777777772</v>
      </c>
      <c r="J44" s="3">
        <f t="shared" si="3"/>
        <v>3.8605555555555555</v>
      </c>
      <c r="K44" s="4">
        <f>Table39[[#This Row],[RN Hours Contract (W/ Admin, DON)]]/Table39[[#This Row],[RN Hours (w/ Admin, DON)]]</f>
        <v>8.1206849001304177E-2</v>
      </c>
      <c r="L44" s="3">
        <v>14.277111111111111</v>
      </c>
      <c r="M44" s="3">
        <v>3.8605555555555555</v>
      </c>
      <c r="N44" s="4">
        <f>Table39[[#This Row],[RN Hours Contract]]/Table39[[#This Row],[RN Hours]]</f>
        <v>0.27040173082011609</v>
      </c>
      <c r="O44" s="3">
        <v>28.284888888888887</v>
      </c>
      <c r="P44" s="3">
        <v>0</v>
      </c>
      <c r="Q44" s="4">
        <f>Table39[[#This Row],[RN Admin Hours Contract]]/Table39[[#This Row],[RN Admin Hours]]</f>
        <v>0</v>
      </c>
      <c r="R44" s="3">
        <v>4.9777777777777779</v>
      </c>
      <c r="S44" s="3">
        <v>0</v>
      </c>
      <c r="T44" s="4">
        <f>Table39[[#This Row],[RN DON Hours Contract]]/Table39[[#This Row],[RN DON Hours]]</f>
        <v>0</v>
      </c>
      <c r="U44" s="3">
        <f>SUM(Table39[[#This Row],[LPN Hours]], Table39[[#This Row],[LPN Admin Hours]])</f>
        <v>108.43755555555555</v>
      </c>
      <c r="V44" s="3">
        <f>Table39[[#This Row],[LPN Hours Contract]]+Table39[[#This Row],[LPN Admin Hours Contract]]</f>
        <v>5.581555555555556</v>
      </c>
      <c r="W44" s="4">
        <f t="shared" si="4"/>
        <v>5.1472532066586203E-2</v>
      </c>
      <c r="X44" s="3">
        <v>94.715555555555554</v>
      </c>
      <c r="Y44" s="3">
        <v>5.581555555555556</v>
      </c>
      <c r="Z44" s="4">
        <f>Table39[[#This Row],[LPN Hours Contract]]/Table39[[#This Row],[LPN Hours]]</f>
        <v>5.8929660738585715E-2</v>
      </c>
      <c r="AA44" s="3">
        <v>13.722</v>
      </c>
      <c r="AB44" s="3">
        <v>0</v>
      </c>
      <c r="AC44" s="4">
        <f>Table39[[#This Row],[LPN Admin Hours Contract]]/Table39[[#This Row],[LPN Admin Hours]]</f>
        <v>0</v>
      </c>
      <c r="AD44" s="3">
        <f>SUM(Table39[[#This Row],[CNA Hours]], Table39[[#This Row],[NA in Training Hours]], Table39[[#This Row],[Med Aide/Tech Hours]])</f>
        <v>332.23211111111112</v>
      </c>
      <c r="AE44" s="3">
        <f>SUM(Table39[[#This Row],[CNA Hours Contract]], Table39[[#This Row],[NA in Training Hours Contract]], Table39[[#This Row],[Med Aide/Tech Hours Contract]])</f>
        <v>34.793333333333337</v>
      </c>
      <c r="AF44" s="4">
        <f>Table39[[#This Row],[CNA/NA/Med Aide Contract Hours]]/Table39[[#This Row],[Total CNA, NA in Training, Med Aide/Tech Hours]]</f>
        <v>0.1047259797283626</v>
      </c>
      <c r="AG44" s="3">
        <v>253.03188888888889</v>
      </c>
      <c r="AH44" s="3">
        <v>34.704444444444448</v>
      </c>
      <c r="AI44" s="4">
        <f>Table39[[#This Row],[CNA Hours Contract]]/Table39[[#This Row],[CNA Hours]]</f>
        <v>0.1371544298105597</v>
      </c>
      <c r="AJ44" s="3">
        <v>21.232555555555553</v>
      </c>
      <c r="AK44" s="3">
        <v>0</v>
      </c>
      <c r="AL44" s="4">
        <f>Table39[[#This Row],[NA in Training Hours Contract]]/Table39[[#This Row],[NA in Training Hours]]</f>
        <v>0</v>
      </c>
      <c r="AM44" s="3">
        <v>57.967666666666666</v>
      </c>
      <c r="AN44" s="3">
        <v>8.8888888888888892E-2</v>
      </c>
      <c r="AO44" s="4">
        <f>Table39[[#This Row],[Med Aide/Tech Hours Contract]]/Table39[[#This Row],[Med Aide/Tech Hours]]</f>
        <v>1.5334218884473913E-3</v>
      </c>
      <c r="AP44" s="1" t="s">
        <v>42</v>
      </c>
      <c r="AQ44" s="1">
        <v>10</v>
      </c>
    </row>
    <row r="45" spans="1:43" x14ac:dyDescent="0.2">
      <c r="A45" s="1" t="s">
        <v>128</v>
      </c>
      <c r="B45" s="1" t="s">
        <v>172</v>
      </c>
      <c r="C45" s="1" t="s">
        <v>293</v>
      </c>
      <c r="D45" s="1" t="s">
        <v>332</v>
      </c>
      <c r="E45" s="3">
        <v>38.68888888888889</v>
      </c>
      <c r="F45" s="3">
        <f t="shared" si="0"/>
        <v>195.08666666666667</v>
      </c>
      <c r="G45" s="3">
        <f>SUM(Table39[[#This Row],[RN Hours Contract (W/ Admin, DON)]], Table39[[#This Row],[LPN Contract Hours (w/ Admin)]], Table39[[#This Row],[CNA/NA/Med Aide Contract Hours]])</f>
        <v>0</v>
      </c>
      <c r="H45" s="4">
        <f>Table39[[#This Row],[Total Contract Hours]]/Table39[[#This Row],[Total Hours Nurse Staffing]]</f>
        <v>0</v>
      </c>
      <c r="I45" s="3">
        <f>SUM(Table39[[#This Row],[RN Hours]], Table39[[#This Row],[RN Admin Hours]], Table39[[#This Row],[RN DON Hours]])</f>
        <v>30.615444444444446</v>
      </c>
      <c r="J45" s="3">
        <f t="shared" si="3"/>
        <v>0</v>
      </c>
      <c r="K45" s="4">
        <f>Table39[[#This Row],[RN Hours Contract (W/ Admin, DON)]]/Table39[[#This Row],[RN Hours (w/ Admin, DON)]]</f>
        <v>0</v>
      </c>
      <c r="L45" s="3">
        <v>20.447222222222223</v>
      </c>
      <c r="M45" s="3">
        <v>0</v>
      </c>
      <c r="N45" s="4">
        <f>Table39[[#This Row],[RN Hours Contract]]/Table39[[#This Row],[RN Hours]]</f>
        <v>0</v>
      </c>
      <c r="O45" s="3">
        <v>4.834888888888889</v>
      </c>
      <c r="P45" s="3">
        <v>0</v>
      </c>
      <c r="Q45" s="4">
        <f>Table39[[#This Row],[RN Admin Hours Contract]]/Table39[[#This Row],[RN Admin Hours]]</f>
        <v>0</v>
      </c>
      <c r="R45" s="3">
        <v>5.333333333333333</v>
      </c>
      <c r="S45" s="3">
        <v>0</v>
      </c>
      <c r="T45" s="4">
        <f>Table39[[#This Row],[RN DON Hours Contract]]/Table39[[#This Row],[RN DON Hours]]</f>
        <v>0</v>
      </c>
      <c r="U45" s="3">
        <f>SUM(Table39[[#This Row],[LPN Hours]], Table39[[#This Row],[LPN Admin Hours]])</f>
        <v>57.480555555555554</v>
      </c>
      <c r="V45" s="3">
        <f>Table39[[#This Row],[LPN Hours Contract]]+Table39[[#This Row],[LPN Admin Hours Contract]]</f>
        <v>0</v>
      </c>
      <c r="W45" s="4">
        <f t="shared" si="4"/>
        <v>0</v>
      </c>
      <c r="X45" s="3">
        <v>43.750666666666667</v>
      </c>
      <c r="Y45" s="3">
        <v>0</v>
      </c>
      <c r="Z45" s="4">
        <f>Table39[[#This Row],[LPN Hours Contract]]/Table39[[#This Row],[LPN Hours]]</f>
        <v>0</v>
      </c>
      <c r="AA45" s="3">
        <v>13.72988888888889</v>
      </c>
      <c r="AB45" s="3">
        <v>0</v>
      </c>
      <c r="AC45" s="4">
        <f>Table39[[#This Row],[LPN Admin Hours Contract]]/Table39[[#This Row],[LPN Admin Hours]]</f>
        <v>0</v>
      </c>
      <c r="AD45" s="3">
        <f>SUM(Table39[[#This Row],[CNA Hours]], Table39[[#This Row],[NA in Training Hours]], Table39[[#This Row],[Med Aide/Tech Hours]])</f>
        <v>106.99066666666667</v>
      </c>
      <c r="AE45" s="3">
        <f>SUM(Table39[[#This Row],[CNA Hours Contract]], Table39[[#This Row],[NA in Training Hours Contract]], Table39[[#This Row],[Med Aide/Tech Hours Contract]])</f>
        <v>0</v>
      </c>
      <c r="AF45" s="4">
        <f>Table39[[#This Row],[CNA/NA/Med Aide Contract Hours]]/Table39[[#This Row],[Total CNA, NA in Training, Med Aide/Tech Hours]]</f>
        <v>0</v>
      </c>
      <c r="AG45" s="3">
        <v>103.34522222222222</v>
      </c>
      <c r="AH45" s="3">
        <v>0</v>
      </c>
      <c r="AI45" s="4">
        <f>Table39[[#This Row],[CNA Hours Contract]]/Table39[[#This Row],[CNA Hours]]</f>
        <v>0</v>
      </c>
      <c r="AJ45" s="3">
        <v>0</v>
      </c>
      <c r="AK45" s="3">
        <v>0</v>
      </c>
      <c r="AL45" s="4">
        <v>0</v>
      </c>
      <c r="AM45" s="3">
        <v>3.6454444444444434</v>
      </c>
      <c r="AN45" s="3">
        <v>0</v>
      </c>
      <c r="AO45" s="4">
        <f>Table39[[#This Row],[Med Aide/Tech Hours Contract]]/Table39[[#This Row],[Med Aide/Tech Hours]]</f>
        <v>0</v>
      </c>
      <c r="AP45" s="1" t="s">
        <v>43</v>
      </c>
      <c r="AQ45" s="1">
        <v>10</v>
      </c>
    </row>
    <row r="46" spans="1:43" x14ac:dyDescent="0.2">
      <c r="A46" s="1" t="s">
        <v>128</v>
      </c>
      <c r="B46" s="1" t="s">
        <v>173</v>
      </c>
      <c r="C46" s="1" t="s">
        <v>294</v>
      </c>
      <c r="D46" s="1" t="s">
        <v>343</v>
      </c>
      <c r="E46" s="3">
        <v>24.077777777777779</v>
      </c>
      <c r="F46" s="3">
        <f t="shared" si="0"/>
        <v>107.38888888888889</v>
      </c>
      <c r="G46" s="3">
        <f>SUM(Table39[[#This Row],[RN Hours Contract (W/ Admin, DON)]], Table39[[#This Row],[LPN Contract Hours (w/ Admin)]], Table39[[#This Row],[CNA/NA/Med Aide Contract Hours]])</f>
        <v>17.705555555555556</v>
      </c>
      <c r="H46" s="4">
        <f>Table39[[#This Row],[Total Contract Hours]]/Table39[[#This Row],[Total Hours Nurse Staffing]]</f>
        <v>0.16487325400931196</v>
      </c>
      <c r="I46" s="3">
        <f>SUM(Table39[[#This Row],[RN Hours]], Table39[[#This Row],[RN Admin Hours]], Table39[[#This Row],[RN DON Hours]])</f>
        <v>30.538888888888888</v>
      </c>
      <c r="J46" s="3">
        <f t="shared" si="3"/>
        <v>2.8638888888888889</v>
      </c>
      <c r="K46" s="4">
        <f>Table39[[#This Row],[RN Hours Contract (W/ Admin, DON)]]/Table39[[#This Row],[RN Hours (w/ Admin, DON)]]</f>
        <v>9.3778424595233764E-2</v>
      </c>
      <c r="L46" s="3">
        <v>19.18611111111111</v>
      </c>
      <c r="M46" s="3">
        <v>2.8638888888888889</v>
      </c>
      <c r="N46" s="4">
        <f>Table39[[#This Row],[RN Hours Contract]]/Table39[[#This Row],[RN Hours]]</f>
        <v>0.14926885768061388</v>
      </c>
      <c r="O46" s="3">
        <v>5.8166666666666664</v>
      </c>
      <c r="P46" s="3">
        <v>0</v>
      </c>
      <c r="Q46" s="4">
        <f>Table39[[#This Row],[RN Admin Hours Contract]]/Table39[[#This Row],[RN Admin Hours]]</f>
        <v>0</v>
      </c>
      <c r="R46" s="3">
        <v>5.5361111111111114</v>
      </c>
      <c r="S46" s="3">
        <v>0</v>
      </c>
      <c r="T46" s="4">
        <f>Table39[[#This Row],[RN DON Hours Contract]]/Table39[[#This Row],[RN DON Hours]]</f>
        <v>0</v>
      </c>
      <c r="U46" s="3">
        <f>SUM(Table39[[#This Row],[LPN Hours]], Table39[[#This Row],[LPN Admin Hours]])</f>
        <v>8.0222222222222221</v>
      </c>
      <c r="V46" s="3">
        <f>Table39[[#This Row],[LPN Hours Contract]]+Table39[[#This Row],[LPN Admin Hours Contract]]</f>
        <v>3.3194444444444446</v>
      </c>
      <c r="W46" s="4">
        <f t="shared" si="4"/>
        <v>0.41378116343490307</v>
      </c>
      <c r="X46" s="3">
        <v>8.0222222222222221</v>
      </c>
      <c r="Y46" s="3">
        <v>3.3194444444444446</v>
      </c>
      <c r="Z46" s="4">
        <f>Table39[[#This Row],[LPN Hours Contract]]/Table39[[#This Row],[LPN Hours]]</f>
        <v>0.41378116343490307</v>
      </c>
      <c r="AA46" s="3">
        <v>0</v>
      </c>
      <c r="AB46" s="3">
        <v>0</v>
      </c>
      <c r="AC46" s="4">
        <v>0</v>
      </c>
      <c r="AD46" s="3">
        <f>SUM(Table39[[#This Row],[CNA Hours]], Table39[[#This Row],[NA in Training Hours]], Table39[[#This Row],[Med Aide/Tech Hours]])</f>
        <v>68.827777777777769</v>
      </c>
      <c r="AE46" s="3">
        <f>SUM(Table39[[#This Row],[CNA Hours Contract]], Table39[[#This Row],[NA in Training Hours Contract]], Table39[[#This Row],[Med Aide/Tech Hours Contract]])</f>
        <v>11.522222222222222</v>
      </c>
      <c r="AF46" s="4">
        <f>Table39[[#This Row],[CNA/NA/Med Aide Contract Hours]]/Table39[[#This Row],[Total CNA, NA in Training, Med Aide/Tech Hours]]</f>
        <v>0.16740657034466061</v>
      </c>
      <c r="AG46" s="3">
        <v>67.047222222222217</v>
      </c>
      <c r="AH46" s="3">
        <v>9.7416666666666671</v>
      </c>
      <c r="AI46" s="4">
        <f>Table39[[#This Row],[CNA Hours Contract]]/Table39[[#This Row],[CNA Hours]]</f>
        <v>0.14529560425902144</v>
      </c>
      <c r="AJ46" s="3">
        <v>0</v>
      </c>
      <c r="AK46" s="3">
        <v>0</v>
      </c>
      <c r="AL46" s="4">
        <v>0</v>
      </c>
      <c r="AM46" s="3">
        <v>1.7805555555555554</v>
      </c>
      <c r="AN46" s="3">
        <v>1.7805555555555554</v>
      </c>
      <c r="AO46" s="4">
        <f>Table39[[#This Row],[Med Aide/Tech Hours Contract]]/Table39[[#This Row],[Med Aide/Tech Hours]]</f>
        <v>1</v>
      </c>
      <c r="AP46" s="1" t="s">
        <v>44</v>
      </c>
      <c r="AQ46" s="1">
        <v>10</v>
      </c>
    </row>
    <row r="47" spans="1:43" x14ac:dyDescent="0.2">
      <c r="A47" s="1" t="s">
        <v>128</v>
      </c>
      <c r="B47" s="1" t="s">
        <v>174</v>
      </c>
      <c r="C47" s="1" t="s">
        <v>261</v>
      </c>
      <c r="D47" s="1" t="s">
        <v>327</v>
      </c>
      <c r="E47" s="3">
        <v>40.06666666666667</v>
      </c>
      <c r="F47" s="3">
        <f t="shared" si="0"/>
        <v>176.18333333333334</v>
      </c>
      <c r="G47" s="3">
        <f>SUM(Table39[[#This Row],[RN Hours Contract (W/ Admin, DON)]], Table39[[#This Row],[LPN Contract Hours (w/ Admin)]], Table39[[#This Row],[CNA/NA/Med Aide Contract Hours]])</f>
        <v>0</v>
      </c>
      <c r="H47" s="4">
        <f>Table39[[#This Row],[Total Contract Hours]]/Table39[[#This Row],[Total Hours Nurse Staffing]]</f>
        <v>0</v>
      </c>
      <c r="I47" s="3">
        <f>SUM(Table39[[#This Row],[RN Hours]], Table39[[#This Row],[RN Admin Hours]], Table39[[#This Row],[RN DON Hours]])</f>
        <v>41.897222222222226</v>
      </c>
      <c r="J47" s="3">
        <f t="shared" si="3"/>
        <v>0</v>
      </c>
      <c r="K47" s="4">
        <f>Table39[[#This Row],[RN Hours Contract (W/ Admin, DON)]]/Table39[[#This Row],[RN Hours (w/ Admin, DON)]]</f>
        <v>0</v>
      </c>
      <c r="L47" s="3">
        <v>26.68888888888889</v>
      </c>
      <c r="M47" s="3">
        <v>0</v>
      </c>
      <c r="N47" s="4">
        <f>Table39[[#This Row],[RN Hours Contract]]/Table39[[#This Row],[RN Hours]]</f>
        <v>0</v>
      </c>
      <c r="O47" s="3">
        <v>9.6083333333333325</v>
      </c>
      <c r="P47" s="3">
        <v>0</v>
      </c>
      <c r="Q47" s="4">
        <f>Table39[[#This Row],[RN Admin Hours Contract]]/Table39[[#This Row],[RN Admin Hours]]</f>
        <v>0</v>
      </c>
      <c r="R47" s="3">
        <v>5.6</v>
      </c>
      <c r="S47" s="3">
        <v>0</v>
      </c>
      <c r="T47" s="4">
        <f>Table39[[#This Row],[RN DON Hours Contract]]/Table39[[#This Row],[RN DON Hours]]</f>
        <v>0</v>
      </c>
      <c r="U47" s="3">
        <f>SUM(Table39[[#This Row],[LPN Hours]], Table39[[#This Row],[LPN Admin Hours]])</f>
        <v>13.011111111111111</v>
      </c>
      <c r="V47" s="3">
        <f>Table39[[#This Row],[LPN Hours Contract]]+Table39[[#This Row],[LPN Admin Hours Contract]]</f>
        <v>0</v>
      </c>
      <c r="W47" s="4">
        <f t="shared" si="4"/>
        <v>0</v>
      </c>
      <c r="X47" s="3">
        <v>13.011111111111111</v>
      </c>
      <c r="Y47" s="3">
        <v>0</v>
      </c>
      <c r="Z47" s="4">
        <f>Table39[[#This Row],[LPN Hours Contract]]/Table39[[#This Row],[LPN Hours]]</f>
        <v>0</v>
      </c>
      <c r="AA47" s="3">
        <v>0</v>
      </c>
      <c r="AB47" s="3">
        <v>0</v>
      </c>
      <c r="AC47" s="4">
        <v>0</v>
      </c>
      <c r="AD47" s="3">
        <f>SUM(Table39[[#This Row],[CNA Hours]], Table39[[#This Row],[NA in Training Hours]], Table39[[#This Row],[Med Aide/Tech Hours]])</f>
        <v>121.27500000000001</v>
      </c>
      <c r="AE47" s="3">
        <f>SUM(Table39[[#This Row],[CNA Hours Contract]], Table39[[#This Row],[NA in Training Hours Contract]], Table39[[#This Row],[Med Aide/Tech Hours Contract]])</f>
        <v>0</v>
      </c>
      <c r="AF47" s="4">
        <f>Table39[[#This Row],[CNA/NA/Med Aide Contract Hours]]/Table39[[#This Row],[Total CNA, NA in Training, Med Aide/Tech Hours]]</f>
        <v>0</v>
      </c>
      <c r="AG47" s="3">
        <v>99.516666666666666</v>
      </c>
      <c r="AH47" s="3">
        <v>0</v>
      </c>
      <c r="AI47" s="4">
        <f>Table39[[#This Row],[CNA Hours Contract]]/Table39[[#This Row],[CNA Hours]]</f>
        <v>0</v>
      </c>
      <c r="AJ47" s="3">
        <v>11.463888888888889</v>
      </c>
      <c r="AK47" s="3">
        <v>0</v>
      </c>
      <c r="AL47" s="4">
        <f>Table39[[#This Row],[NA in Training Hours Contract]]/Table39[[#This Row],[NA in Training Hours]]</f>
        <v>0</v>
      </c>
      <c r="AM47" s="3">
        <v>10.294444444444444</v>
      </c>
      <c r="AN47" s="3">
        <v>0</v>
      </c>
      <c r="AO47" s="4">
        <f>Table39[[#This Row],[Med Aide/Tech Hours Contract]]/Table39[[#This Row],[Med Aide/Tech Hours]]</f>
        <v>0</v>
      </c>
      <c r="AP47" s="1" t="s">
        <v>45</v>
      </c>
      <c r="AQ47" s="1">
        <v>10</v>
      </c>
    </row>
    <row r="48" spans="1:43" x14ac:dyDescent="0.2">
      <c r="A48" s="1" t="s">
        <v>128</v>
      </c>
      <c r="B48" s="1" t="s">
        <v>175</v>
      </c>
      <c r="C48" s="1" t="s">
        <v>295</v>
      </c>
      <c r="D48" s="1" t="s">
        <v>330</v>
      </c>
      <c r="E48" s="3">
        <v>13.9</v>
      </c>
      <c r="F48" s="3">
        <f t="shared" si="0"/>
        <v>90.416666666666657</v>
      </c>
      <c r="G48" s="3">
        <f>SUM(Table39[[#This Row],[RN Hours Contract (W/ Admin, DON)]], Table39[[#This Row],[LPN Contract Hours (w/ Admin)]], Table39[[#This Row],[CNA/NA/Med Aide Contract Hours]])</f>
        <v>0</v>
      </c>
      <c r="H48" s="4">
        <f>Table39[[#This Row],[Total Contract Hours]]/Table39[[#This Row],[Total Hours Nurse Staffing]]</f>
        <v>0</v>
      </c>
      <c r="I48" s="3">
        <f>SUM(Table39[[#This Row],[RN Hours]], Table39[[#This Row],[RN Admin Hours]], Table39[[#This Row],[RN DON Hours]])</f>
        <v>19.672222222222224</v>
      </c>
      <c r="J48" s="3">
        <f t="shared" si="3"/>
        <v>0</v>
      </c>
      <c r="K48" s="4">
        <f>Table39[[#This Row],[RN Hours Contract (W/ Admin, DON)]]/Table39[[#This Row],[RN Hours (w/ Admin, DON)]]</f>
        <v>0</v>
      </c>
      <c r="L48" s="3">
        <v>14.016666666666667</v>
      </c>
      <c r="M48" s="3">
        <v>0</v>
      </c>
      <c r="N48" s="4">
        <f>Table39[[#This Row],[RN Hours Contract]]/Table39[[#This Row],[RN Hours]]</f>
        <v>0</v>
      </c>
      <c r="O48" s="3">
        <v>0</v>
      </c>
      <c r="P48" s="3">
        <v>0</v>
      </c>
      <c r="Q48" s="4">
        <v>0</v>
      </c>
      <c r="R48" s="3">
        <v>5.6555555555555559</v>
      </c>
      <c r="S48" s="3">
        <v>0</v>
      </c>
      <c r="T48" s="4">
        <f>Table39[[#This Row],[RN DON Hours Contract]]/Table39[[#This Row],[RN DON Hours]]</f>
        <v>0</v>
      </c>
      <c r="U48" s="3">
        <f>SUM(Table39[[#This Row],[LPN Hours]], Table39[[#This Row],[LPN Admin Hours]])</f>
        <v>10.919444444444444</v>
      </c>
      <c r="V48" s="3">
        <f>Table39[[#This Row],[LPN Hours Contract]]+Table39[[#This Row],[LPN Admin Hours Contract]]</f>
        <v>0</v>
      </c>
      <c r="W48" s="4">
        <f t="shared" si="4"/>
        <v>0</v>
      </c>
      <c r="X48" s="3">
        <v>10.919444444444444</v>
      </c>
      <c r="Y48" s="3">
        <v>0</v>
      </c>
      <c r="Z48" s="4">
        <f>Table39[[#This Row],[LPN Hours Contract]]/Table39[[#This Row],[LPN Hours]]</f>
        <v>0</v>
      </c>
      <c r="AA48" s="3">
        <v>0</v>
      </c>
      <c r="AB48" s="3">
        <v>0</v>
      </c>
      <c r="AC48" s="4">
        <v>0</v>
      </c>
      <c r="AD48" s="3">
        <f>SUM(Table39[[#This Row],[CNA Hours]], Table39[[#This Row],[NA in Training Hours]], Table39[[#This Row],[Med Aide/Tech Hours]])</f>
        <v>59.824999999999996</v>
      </c>
      <c r="AE48" s="3">
        <f>SUM(Table39[[#This Row],[CNA Hours Contract]], Table39[[#This Row],[NA in Training Hours Contract]], Table39[[#This Row],[Med Aide/Tech Hours Contract]])</f>
        <v>0</v>
      </c>
      <c r="AF48" s="4">
        <f>Table39[[#This Row],[CNA/NA/Med Aide Contract Hours]]/Table39[[#This Row],[Total CNA, NA in Training, Med Aide/Tech Hours]]</f>
        <v>0</v>
      </c>
      <c r="AG48" s="3">
        <v>50.908333333333331</v>
      </c>
      <c r="AH48" s="3">
        <v>0</v>
      </c>
      <c r="AI48" s="4">
        <f>Table39[[#This Row],[CNA Hours Contract]]/Table39[[#This Row],[CNA Hours]]</f>
        <v>0</v>
      </c>
      <c r="AJ48" s="3">
        <v>7.0277777777777777</v>
      </c>
      <c r="AK48" s="3">
        <v>0</v>
      </c>
      <c r="AL48" s="4">
        <f>Table39[[#This Row],[NA in Training Hours Contract]]/Table39[[#This Row],[NA in Training Hours]]</f>
        <v>0</v>
      </c>
      <c r="AM48" s="3">
        <v>1.8888888888888888</v>
      </c>
      <c r="AN48" s="3">
        <v>0</v>
      </c>
      <c r="AO48" s="4">
        <f>Table39[[#This Row],[Med Aide/Tech Hours Contract]]/Table39[[#This Row],[Med Aide/Tech Hours]]</f>
        <v>0</v>
      </c>
      <c r="AP48" s="1" t="s">
        <v>46</v>
      </c>
      <c r="AQ48" s="1">
        <v>10</v>
      </c>
    </row>
    <row r="49" spans="1:43" x14ac:dyDescent="0.2">
      <c r="A49" s="1" t="s">
        <v>128</v>
      </c>
      <c r="B49" s="1" t="s">
        <v>176</v>
      </c>
      <c r="C49" s="1" t="s">
        <v>296</v>
      </c>
      <c r="D49" s="1" t="s">
        <v>333</v>
      </c>
      <c r="E49" s="3">
        <v>22.833333333333332</v>
      </c>
      <c r="F49" s="3">
        <f t="shared" si="0"/>
        <v>118.98288888888889</v>
      </c>
      <c r="G49" s="3">
        <f>SUM(Table39[[#This Row],[RN Hours Contract (W/ Admin, DON)]], Table39[[#This Row],[LPN Contract Hours (w/ Admin)]], Table39[[#This Row],[CNA/NA/Med Aide Contract Hours]])</f>
        <v>0</v>
      </c>
      <c r="H49" s="4">
        <f>Table39[[#This Row],[Total Contract Hours]]/Table39[[#This Row],[Total Hours Nurse Staffing]]</f>
        <v>0</v>
      </c>
      <c r="I49" s="3">
        <f>SUM(Table39[[#This Row],[RN Hours]], Table39[[#This Row],[RN Admin Hours]], Table39[[#This Row],[RN DON Hours]])</f>
        <v>26.146999999999998</v>
      </c>
      <c r="J49" s="3">
        <f t="shared" si="3"/>
        <v>0</v>
      </c>
      <c r="K49" s="4">
        <f>Table39[[#This Row],[RN Hours Contract (W/ Admin, DON)]]/Table39[[#This Row],[RN Hours (w/ Admin, DON)]]</f>
        <v>0</v>
      </c>
      <c r="L49" s="3">
        <v>20.547000000000001</v>
      </c>
      <c r="M49" s="3">
        <v>0</v>
      </c>
      <c r="N49" s="4">
        <f>Table39[[#This Row],[RN Hours Contract]]/Table39[[#This Row],[RN Hours]]</f>
        <v>0</v>
      </c>
      <c r="O49" s="3">
        <v>0</v>
      </c>
      <c r="P49" s="3">
        <v>0</v>
      </c>
      <c r="Q49" s="4">
        <v>0</v>
      </c>
      <c r="R49" s="3">
        <v>5.6</v>
      </c>
      <c r="S49" s="3">
        <v>0</v>
      </c>
      <c r="T49" s="4">
        <f>Table39[[#This Row],[RN DON Hours Contract]]/Table39[[#This Row],[RN DON Hours]]</f>
        <v>0</v>
      </c>
      <c r="U49" s="3">
        <f>SUM(Table39[[#This Row],[LPN Hours]], Table39[[#This Row],[LPN Admin Hours]])</f>
        <v>23.582000000000001</v>
      </c>
      <c r="V49" s="3">
        <f>Table39[[#This Row],[LPN Hours Contract]]+Table39[[#This Row],[LPN Admin Hours Contract]]</f>
        <v>0</v>
      </c>
      <c r="W49" s="4">
        <f t="shared" si="4"/>
        <v>0</v>
      </c>
      <c r="X49" s="3">
        <v>23.582000000000001</v>
      </c>
      <c r="Y49" s="3">
        <v>0</v>
      </c>
      <c r="Z49" s="4">
        <f>Table39[[#This Row],[LPN Hours Contract]]/Table39[[#This Row],[LPN Hours]]</f>
        <v>0</v>
      </c>
      <c r="AA49" s="3">
        <v>0</v>
      </c>
      <c r="AB49" s="3">
        <v>0</v>
      </c>
      <c r="AC49" s="4">
        <v>0</v>
      </c>
      <c r="AD49" s="3">
        <f>SUM(Table39[[#This Row],[CNA Hours]], Table39[[#This Row],[NA in Training Hours]], Table39[[#This Row],[Med Aide/Tech Hours]])</f>
        <v>69.253888888888895</v>
      </c>
      <c r="AE49" s="3">
        <f>SUM(Table39[[#This Row],[CNA Hours Contract]], Table39[[#This Row],[NA in Training Hours Contract]], Table39[[#This Row],[Med Aide/Tech Hours Contract]])</f>
        <v>0</v>
      </c>
      <c r="AF49" s="4">
        <f>Table39[[#This Row],[CNA/NA/Med Aide Contract Hours]]/Table39[[#This Row],[Total CNA, NA in Training, Med Aide/Tech Hours]]</f>
        <v>0</v>
      </c>
      <c r="AG49" s="3">
        <v>69.253888888888895</v>
      </c>
      <c r="AH49" s="3">
        <v>0</v>
      </c>
      <c r="AI49" s="4">
        <f>Table39[[#This Row],[CNA Hours Contract]]/Table39[[#This Row],[CNA Hours]]</f>
        <v>0</v>
      </c>
      <c r="AJ49" s="3">
        <v>0</v>
      </c>
      <c r="AK49" s="3">
        <v>0</v>
      </c>
      <c r="AL49" s="4">
        <v>0</v>
      </c>
      <c r="AM49" s="3">
        <v>0</v>
      </c>
      <c r="AN49" s="3">
        <v>0</v>
      </c>
      <c r="AO49" s="4">
        <v>0</v>
      </c>
      <c r="AP49" s="1" t="s">
        <v>47</v>
      </c>
      <c r="AQ49" s="1">
        <v>10</v>
      </c>
    </row>
    <row r="50" spans="1:43" x14ac:dyDescent="0.2">
      <c r="A50" s="1" t="s">
        <v>128</v>
      </c>
      <c r="B50" s="1" t="s">
        <v>177</v>
      </c>
      <c r="C50" s="1" t="s">
        <v>297</v>
      </c>
      <c r="D50" s="1" t="s">
        <v>321</v>
      </c>
      <c r="E50" s="3">
        <v>116.47777777777777</v>
      </c>
      <c r="F50" s="3">
        <f t="shared" si="0"/>
        <v>621.13077777777767</v>
      </c>
      <c r="G50" s="3">
        <f>SUM(Table39[[#This Row],[RN Hours Contract (W/ Admin, DON)]], Table39[[#This Row],[LPN Contract Hours (w/ Admin)]], Table39[[#This Row],[CNA/NA/Med Aide Contract Hours]])</f>
        <v>62.833888888888893</v>
      </c>
      <c r="H50" s="4">
        <f>Table39[[#This Row],[Total Contract Hours]]/Table39[[#This Row],[Total Hours Nurse Staffing]]</f>
        <v>0.10116048203840418</v>
      </c>
      <c r="I50" s="3">
        <f>SUM(Table39[[#This Row],[RN Hours]], Table39[[#This Row],[RN Admin Hours]], Table39[[#This Row],[RN DON Hours]])</f>
        <v>105.04888888888887</v>
      </c>
      <c r="J50" s="3">
        <f t="shared" si="3"/>
        <v>4.5651111111111113</v>
      </c>
      <c r="K50" s="4">
        <f>Table39[[#This Row],[RN Hours Contract (W/ Admin, DON)]]/Table39[[#This Row],[RN Hours (w/ Admin, DON)]]</f>
        <v>4.3457014723303447E-2</v>
      </c>
      <c r="L50" s="3">
        <v>54.226666666666659</v>
      </c>
      <c r="M50" s="3">
        <v>4.5651111111111113</v>
      </c>
      <c r="N50" s="4">
        <f>Table39[[#This Row],[RN Hours Contract]]/Table39[[#This Row],[RN Hours]]</f>
        <v>8.41857224817638E-2</v>
      </c>
      <c r="O50" s="3">
        <v>45.31111111111111</v>
      </c>
      <c r="P50" s="3">
        <v>0</v>
      </c>
      <c r="Q50" s="4">
        <f>Table39[[#This Row],[RN Admin Hours Contract]]/Table39[[#This Row],[RN Admin Hours]]</f>
        <v>0</v>
      </c>
      <c r="R50" s="3">
        <v>5.5111111111111111</v>
      </c>
      <c r="S50" s="3">
        <v>0</v>
      </c>
      <c r="T50" s="4">
        <f>Table39[[#This Row],[RN DON Hours Contract]]/Table39[[#This Row],[RN DON Hours]]</f>
        <v>0</v>
      </c>
      <c r="U50" s="3">
        <f>SUM(Table39[[#This Row],[LPN Hours]], Table39[[#This Row],[LPN Admin Hours]])</f>
        <v>95.943222222222218</v>
      </c>
      <c r="V50" s="3">
        <f>Table39[[#This Row],[LPN Hours Contract]]+Table39[[#This Row],[LPN Admin Hours Contract]]</f>
        <v>7.0118888888888895</v>
      </c>
      <c r="W50" s="4">
        <f t="shared" si="4"/>
        <v>7.3083733550745877E-2</v>
      </c>
      <c r="X50" s="3">
        <v>95.943222222222218</v>
      </c>
      <c r="Y50" s="3">
        <v>7.0118888888888895</v>
      </c>
      <c r="Z50" s="4">
        <f>Table39[[#This Row],[LPN Hours Contract]]/Table39[[#This Row],[LPN Hours]]</f>
        <v>7.3083733550745877E-2</v>
      </c>
      <c r="AA50" s="3">
        <v>0</v>
      </c>
      <c r="AB50" s="3">
        <v>0</v>
      </c>
      <c r="AC50" s="4">
        <v>0</v>
      </c>
      <c r="AD50" s="3">
        <f>SUM(Table39[[#This Row],[CNA Hours]], Table39[[#This Row],[NA in Training Hours]], Table39[[#This Row],[Med Aide/Tech Hours]])</f>
        <v>420.13866666666661</v>
      </c>
      <c r="AE50" s="3">
        <f>SUM(Table39[[#This Row],[CNA Hours Contract]], Table39[[#This Row],[NA in Training Hours Contract]], Table39[[#This Row],[Med Aide/Tech Hours Contract]])</f>
        <v>51.256888888888895</v>
      </c>
      <c r="AF50" s="4">
        <f>Table39[[#This Row],[CNA/NA/Med Aide Contract Hours]]/Table39[[#This Row],[Total CNA, NA in Training, Med Aide/Tech Hours]]</f>
        <v>0.12199993229748489</v>
      </c>
      <c r="AG50" s="3">
        <v>319.87599999999998</v>
      </c>
      <c r="AH50" s="3">
        <v>36.972666666666669</v>
      </c>
      <c r="AI50" s="4">
        <f>Table39[[#This Row],[CNA Hours Contract]]/Table39[[#This Row],[CNA Hours]]</f>
        <v>0.11558437227759091</v>
      </c>
      <c r="AJ50" s="3">
        <v>36.433111111111096</v>
      </c>
      <c r="AK50" s="3">
        <v>0</v>
      </c>
      <c r="AL50" s="4">
        <f>Table39[[#This Row],[NA in Training Hours Contract]]/Table39[[#This Row],[NA in Training Hours]]</f>
        <v>0</v>
      </c>
      <c r="AM50" s="3">
        <v>63.829555555555537</v>
      </c>
      <c r="AN50" s="3">
        <v>14.284222222222224</v>
      </c>
      <c r="AO50" s="4">
        <f>Table39[[#This Row],[Med Aide/Tech Hours Contract]]/Table39[[#This Row],[Med Aide/Tech Hours]]</f>
        <v>0.2237869604119305</v>
      </c>
      <c r="AP50" s="1" t="s">
        <v>48</v>
      </c>
      <c r="AQ50" s="1">
        <v>10</v>
      </c>
    </row>
    <row r="51" spans="1:43" x14ac:dyDescent="0.2">
      <c r="A51" s="1" t="s">
        <v>128</v>
      </c>
      <c r="B51" s="1" t="s">
        <v>178</v>
      </c>
      <c r="C51" s="1" t="s">
        <v>281</v>
      </c>
      <c r="D51" s="1" t="s">
        <v>335</v>
      </c>
      <c r="E51" s="3">
        <v>80.433333333333337</v>
      </c>
      <c r="F51" s="3">
        <f t="shared" si="0"/>
        <v>395.42688888888881</v>
      </c>
      <c r="G51" s="3">
        <f>SUM(Table39[[#This Row],[RN Hours Contract (W/ Admin, DON)]], Table39[[#This Row],[LPN Contract Hours (w/ Admin)]], Table39[[#This Row],[CNA/NA/Med Aide Contract Hours]])</f>
        <v>130.57466666666667</v>
      </c>
      <c r="H51" s="4">
        <f>Table39[[#This Row],[Total Contract Hours]]/Table39[[#This Row],[Total Hours Nurse Staffing]]</f>
        <v>0.3302119060076284</v>
      </c>
      <c r="I51" s="3">
        <f>SUM(Table39[[#This Row],[RN Hours]], Table39[[#This Row],[RN Admin Hours]], Table39[[#This Row],[RN DON Hours]])</f>
        <v>47.647333333333329</v>
      </c>
      <c r="J51" s="3">
        <f t="shared" si="3"/>
        <v>3.9388888888888891</v>
      </c>
      <c r="K51" s="4">
        <f>Table39[[#This Row],[RN Hours Contract (W/ Admin, DON)]]/Table39[[#This Row],[RN Hours (w/ Admin, DON)]]</f>
        <v>8.2667562134758635E-2</v>
      </c>
      <c r="L51" s="3">
        <v>23.055333333333333</v>
      </c>
      <c r="M51" s="3">
        <v>1.9805555555555556</v>
      </c>
      <c r="N51" s="4">
        <f>Table39[[#This Row],[RN Hours Contract]]/Table39[[#This Row],[RN Hours]]</f>
        <v>8.5904442452457375E-2</v>
      </c>
      <c r="O51" s="3">
        <v>22.903111111111109</v>
      </c>
      <c r="P51" s="3">
        <v>1.9583333333333333</v>
      </c>
      <c r="Q51" s="4">
        <f>Table39[[#This Row],[RN Admin Hours Contract]]/Table39[[#This Row],[RN Admin Hours]]</f>
        <v>8.5505123030350086E-2</v>
      </c>
      <c r="R51" s="3">
        <v>1.6888888888888889</v>
      </c>
      <c r="S51" s="3">
        <v>0</v>
      </c>
      <c r="T51" s="4">
        <f>Table39[[#This Row],[RN DON Hours Contract]]/Table39[[#This Row],[RN DON Hours]]</f>
        <v>0</v>
      </c>
      <c r="U51" s="3">
        <f>SUM(Table39[[#This Row],[LPN Hours]], Table39[[#This Row],[LPN Admin Hours]])</f>
        <v>88.083444444444453</v>
      </c>
      <c r="V51" s="3">
        <f>Table39[[#This Row],[LPN Hours Contract]]+Table39[[#This Row],[LPN Admin Hours Contract]]</f>
        <v>28.231444444444442</v>
      </c>
      <c r="W51" s="4">
        <f t="shared" si="4"/>
        <v>0.32050795268627846</v>
      </c>
      <c r="X51" s="3">
        <v>74.764888888888891</v>
      </c>
      <c r="Y51" s="3">
        <v>28.231444444444442</v>
      </c>
      <c r="Z51" s="4">
        <f>Table39[[#This Row],[LPN Hours Contract]]/Table39[[#This Row],[LPN Hours]]</f>
        <v>0.37760297465833631</v>
      </c>
      <c r="AA51" s="3">
        <v>13.318555555555557</v>
      </c>
      <c r="AB51" s="3">
        <v>0</v>
      </c>
      <c r="AC51" s="4">
        <f>Table39[[#This Row],[LPN Admin Hours Contract]]/Table39[[#This Row],[LPN Admin Hours]]</f>
        <v>0</v>
      </c>
      <c r="AD51" s="3">
        <f>SUM(Table39[[#This Row],[CNA Hours]], Table39[[#This Row],[NA in Training Hours]], Table39[[#This Row],[Med Aide/Tech Hours]])</f>
        <v>259.69611111111107</v>
      </c>
      <c r="AE51" s="3">
        <f>SUM(Table39[[#This Row],[CNA Hours Contract]], Table39[[#This Row],[NA in Training Hours Contract]], Table39[[#This Row],[Med Aide/Tech Hours Contract]])</f>
        <v>98.404333333333341</v>
      </c>
      <c r="AF51" s="4">
        <f>Table39[[#This Row],[CNA/NA/Med Aide Contract Hours]]/Table39[[#This Row],[Total CNA, NA in Training, Med Aide/Tech Hours]]</f>
        <v>0.37892108939294439</v>
      </c>
      <c r="AG51" s="3">
        <v>226.26299999999998</v>
      </c>
      <c r="AH51" s="3">
        <v>91.90066666666668</v>
      </c>
      <c r="AI51" s="4">
        <f>Table39[[#This Row],[CNA Hours Contract]]/Table39[[#This Row],[CNA Hours]]</f>
        <v>0.40616745409840183</v>
      </c>
      <c r="AJ51" s="3">
        <v>15.469444444444445</v>
      </c>
      <c r="AK51" s="3">
        <v>0</v>
      </c>
      <c r="AL51" s="4">
        <f>Table39[[#This Row],[NA in Training Hours Contract]]/Table39[[#This Row],[NA in Training Hours]]</f>
        <v>0</v>
      </c>
      <c r="AM51" s="3">
        <v>17.963666666666665</v>
      </c>
      <c r="AN51" s="3">
        <v>6.5036666666666658</v>
      </c>
      <c r="AO51" s="4">
        <f>Table39[[#This Row],[Med Aide/Tech Hours Contract]]/Table39[[#This Row],[Med Aide/Tech Hours]]</f>
        <v>0.3620456105843276</v>
      </c>
      <c r="AP51" s="1" t="s">
        <v>49</v>
      </c>
      <c r="AQ51" s="1">
        <v>10</v>
      </c>
    </row>
    <row r="52" spans="1:43" x14ac:dyDescent="0.2">
      <c r="A52" s="1" t="s">
        <v>128</v>
      </c>
      <c r="B52" s="1" t="s">
        <v>179</v>
      </c>
      <c r="C52" s="1" t="s">
        <v>267</v>
      </c>
      <c r="D52" s="1" t="s">
        <v>331</v>
      </c>
      <c r="E52" s="3">
        <v>67.522222222222226</v>
      </c>
      <c r="F52" s="3">
        <f t="shared" si="0"/>
        <v>346.48611111111109</v>
      </c>
      <c r="G52" s="3">
        <f>SUM(Table39[[#This Row],[RN Hours Contract (W/ Admin, DON)]], Table39[[#This Row],[LPN Contract Hours (w/ Admin)]], Table39[[#This Row],[CNA/NA/Med Aide Contract Hours]])</f>
        <v>0</v>
      </c>
      <c r="H52" s="4">
        <f>Table39[[#This Row],[Total Contract Hours]]/Table39[[#This Row],[Total Hours Nurse Staffing]]</f>
        <v>0</v>
      </c>
      <c r="I52" s="3">
        <f>SUM(Table39[[#This Row],[RN Hours]], Table39[[#This Row],[RN Admin Hours]], Table39[[#This Row],[RN DON Hours]])</f>
        <v>49.152777777777779</v>
      </c>
      <c r="J52" s="3">
        <f t="shared" si="3"/>
        <v>0</v>
      </c>
      <c r="K52" s="4">
        <f>Table39[[#This Row],[RN Hours Contract (W/ Admin, DON)]]/Table39[[#This Row],[RN Hours (w/ Admin, DON)]]</f>
        <v>0</v>
      </c>
      <c r="L52" s="3">
        <v>27.824999999999999</v>
      </c>
      <c r="M52" s="3">
        <v>0</v>
      </c>
      <c r="N52" s="4">
        <f>Table39[[#This Row],[RN Hours Contract]]/Table39[[#This Row],[RN Hours]]</f>
        <v>0</v>
      </c>
      <c r="O52" s="3">
        <v>15.638888888888889</v>
      </c>
      <c r="P52" s="3">
        <v>0</v>
      </c>
      <c r="Q52" s="4">
        <f>Table39[[#This Row],[RN Admin Hours Contract]]/Table39[[#This Row],[RN Admin Hours]]</f>
        <v>0</v>
      </c>
      <c r="R52" s="3">
        <v>5.6888888888888891</v>
      </c>
      <c r="S52" s="3">
        <v>0</v>
      </c>
      <c r="T52" s="4">
        <f>Table39[[#This Row],[RN DON Hours Contract]]/Table39[[#This Row],[RN DON Hours]]</f>
        <v>0</v>
      </c>
      <c r="U52" s="3">
        <f>SUM(Table39[[#This Row],[LPN Hours]], Table39[[#This Row],[LPN Admin Hours]])</f>
        <v>65.194444444444443</v>
      </c>
      <c r="V52" s="3">
        <f>Table39[[#This Row],[LPN Hours Contract]]+Table39[[#This Row],[LPN Admin Hours Contract]]</f>
        <v>0</v>
      </c>
      <c r="W52" s="4">
        <f t="shared" si="4"/>
        <v>0</v>
      </c>
      <c r="X52" s="3">
        <v>65.194444444444443</v>
      </c>
      <c r="Y52" s="3">
        <v>0</v>
      </c>
      <c r="Z52" s="4">
        <f>Table39[[#This Row],[LPN Hours Contract]]/Table39[[#This Row],[LPN Hours]]</f>
        <v>0</v>
      </c>
      <c r="AA52" s="3">
        <v>0</v>
      </c>
      <c r="AB52" s="3">
        <v>0</v>
      </c>
      <c r="AC52" s="4">
        <v>0</v>
      </c>
      <c r="AD52" s="3">
        <f>SUM(Table39[[#This Row],[CNA Hours]], Table39[[#This Row],[NA in Training Hours]], Table39[[#This Row],[Med Aide/Tech Hours]])</f>
        <v>232.13888888888889</v>
      </c>
      <c r="AE52" s="3">
        <f>SUM(Table39[[#This Row],[CNA Hours Contract]], Table39[[#This Row],[NA in Training Hours Contract]], Table39[[#This Row],[Med Aide/Tech Hours Contract]])</f>
        <v>0</v>
      </c>
      <c r="AF52" s="4">
        <f>Table39[[#This Row],[CNA/NA/Med Aide Contract Hours]]/Table39[[#This Row],[Total CNA, NA in Training, Med Aide/Tech Hours]]</f>
        <v>0</v>
      </c>
      <c r="AG52" s="3">
        <v>182.48333333333332</v>
      </c>
      <c r="AH52" s="3">
        <v>0</v>
      </c>
      <c r="AI52" s="4">
        <f>Table39[[#This Row],[CNA Hours Contract]]/Table39[[#This Row],[CNA Hours]]</f>
        <v>0</v>
      </c>
      <c r="AJ52" s="3">
        <v>15.05</v>
      </c>
      <c r="AK52" s="3">
        <v>0</v>
      </c>
      <c r="AL52" s="4">
        <f>Table39[[#This Row],[NA in Training Hours Contract]]/Table39[[#This Row],[NA in Training Hours]]</f>
        <v>0</v>
      </c>
      <c r="AM52" s="3">
        <v>34.605555555555554</v>
      </c>
      <c r="AN52" s="3">
        <v>0</v>
      </c>
      <c r="AO52" s="4">
        <f>Table39[[#This Row],[Med Aide/Tech Hours Contract]]/Table39[[#This Row],[Med Aide/Tech Hours]]</f>
        <v>0</v>
      </c>
      <c r="AP52" s="1" t="s">
        <v>50</v>
      </c>
      <c r="AQ52" s="1">
        <v>10</v>
      </c>
    </row>
    <row r="53" spans="1:43" x14ac:dyDescent="0.2">
      <c r="A53" s="1" t="s">
        <v>128</v>
      </c>
      <c r="B53" s="1" t="s">
        <v>180</v>
      </c>
      <c r="C53" s="1" t="s">
        <v>298</v>
      </c>
      <c r="D53" s="1" t="s">
        <v>344</v>
      </c>
      <c r="E53" s="3">
        <v>40.388888888888886</v>
      </c>
      <c r="F53" s="3">
        <f t="shared" si="0"/>
        <v>201.97088888888888</v>
      </c>
      <c r="G53" s="3">
        <f>SUM(Table39[[#This Row],[RN Hours Contract (W/ Admin, DON)]], Table39[[#This Row],[LPN Contract Hours (w/ Admin)]], Table39[[#This Row],[CNA/NA/Med Aide Contract Hours]])</f>
        <v>0.81800000000000006</v>
      </c>
      <c r="H53" s="4">
        <f>Table39[[#This Row],[Total Contract Hours]]/Table39[[#This Row],[Total Hours Nurse Staffing]]</f>
        <v>4.0500886266337617E-3</v>
      </c>
      <c r="I53" s="3">
        <f>SUM(Table39[[#This Row],[RN Hours]], Table39[[#This Row],[RN Admin Hours]], Table39[[#This Row],[RN DON Hours]])</f>
        <v>17.071444444444445</v>
      </c>
      <c r="J53" s="3">
        <f t="shared" si="3"/>
        <v>0</v>
      </c>
      <c r="K53" s="4">
        <f>Table39[[#This Row],[RN Hours Contract (W/ Admin, DON)]]/Table39[[#This Row],[RN Hours (w/ Admin, DON)]]</f>
        <v>0</v>
      </c>
      <c r="L53" s="3">
        <v>11.286</v>
      </c>
      <c r="M53" s="3">
        <v>0</v>
      </c>
      <c r="N53" s="4">
        <f>Table39[[#This Row],[RN Hours Contract]]/Table39[[#This Row],[RN Hours]]</f>
        <v>0</v>
      </c>
      <c r="O53" s="3">
        <v>5.7854444444444448</v>
      </c>
      <c r="P53" s="3">
        <v>0</v>
      </c>
      <c r="Q53" s="4">
        <f>Table39[[#This Row],[RN Admin Hours Contract]]/Table39[[#This Row],[RN Admin Hours]]</f>
        <v>0</v>
      </c>
      <c r="R53" s="3">
        <v>0</v>
      </c>
      <c r="S53" s="3">
        <v>0</v>
      </c>
      <c r="T53" s="4">
        <v>0</v>
      </c>
      <c r="U53" s="3">
        <f>SUM(Table39[[#This Row],[LPN Hours]], Table39[[#This Row],[LPN Admin Hours]])</f>
        <v>64.611777777777775</v>
      </c>
      <c r="V53" s="3">
        <f>Table39[[#This Row],[LPN Hours Contract]]+Table39[[#This Row],[LPN Admin Hours Contract]]</f>
        <v>0</v>
      </c>
      <c r="W53" s="4">
        <f t="shared" si="4"/>
        <v>0</v>
      </c>
      <c r="X53" s="3">
        <v>48.226555555555557</v>
      </c>
      <c r="Y53" s="3">
        <v>0</v>
      </c>
      <c r="Z53" s="4">
        <f>Table39[[#This Row],[LPN Hours Contract]]/Table39[[#This Row],[LPN Hours]]</f>
        <v>0</v>
      </c>
      <c r="AA53" s="3">
        <v>16.385222222222225</v>
      </c>
      <c r="AB53" s="3">
        <v>0</v>
      </c>
      <c r="AC53" s="4">
        <f>Table39[[#This Row],[LPN Admin Hours Contract]]/Table39[[#This Row],[LPN Admin Hours]]</f>
        <v>0</v>
      </c>
      <c r="AD53" s="3">
        <f>SUM(Table39[[#This Row],[CNA Hours]], Table39[[#This Row],[NA in Training Hours]], Table39[[#This Row],[Med Aide/Tech Hours]])</f>
        <v>120.28766666666667</v>
      </c>
      <c r="AE53" s="3">
        <f>SUM(Table39[[#This Row],[CNA Hours Contract]], Table39[[#This Row],[NA in Training Hours Contract]], Table39[[#This Row],[Med Aide/Tech Hours Contract]])</f>
        <v>0.81800000000000006</v>
      </c>
      <c r="AF53" s="4">
        <f>Table39[[#This Row],[CNA/NA/Med Aide Contract Hours]]/Table39[[#This Row],[Total CNA, NA in Training, Med Aide/Tech Hours]]</f>
        <v>6.8003646813333601E-3</v>
      </c>
      <c r="AG53" s="3">
        <v>105.4571111111111</v>
      </c>
      <c r="AH53" s="3">
        <v>0.81800000000000006</v>
      </c>
      <c r="AI53" s="4">
        <f>Table39[[#This Row],[CNA Hours Contract]]/Table39[[#This Row],[CNA Hours]]</f>
        <v>7.7567078348860109E-3</v>
      </c>
      <c r="AJ53" s="3">
        <v>4.0365555555555579</v>
      </c>
      <c r="AK53" s="3">
        <v>0</v>
      </c>
      <c r="AL53" s="4">
        <f>Table39[[#This Row],[NA in Training Hours Contract]]/Table39[[#This Row],[NA in Training Hours]]</f>
        <v>0</v>
      </c>
      <c r="AM53" s="3">
        <v>10.794000000000004</v>
      </c>
      <c r="AN53" s="3">
        <v>0</v>
      </c>
      <c r="AO53" s="4">
        <f>Table39[[#This Row],[Med Aide/Tech Hours Contract]]/Table39[[#This Row],[Med Aide/Tech Hours]]</f>
        <v>0</v>
      </c>
      <c r="AP53" s="1" t="s">
        <v>51</v>
      </c>
      <c r="AQ53" s="1">
        <v>10</v>
      </c>
    </row>
    <row r="54" spans="1:43" x14ac:dyDescent="0.2">
      <c r="A54" s="1" t="s">
        <v>128</v>
      </c>
      <c r="B54" s="1" t="s">
        <v>181</v>
      </c>
      <c r="C54" s="1" t="s">
        <v>282</v>
      </c>
      <c r="D54" s="1" t="s">
        <v>336</v>
      </c>
      <c r="E54" s="3">
        <v>23.511111111111113</v>
      </c>
      <c r="F54" s="3">
        <f t="shared" si="0"/>
        <v>96.413888888888891</v>
      </c>
      <c r="G54" s="3">
        <f>SUM(Table39[[#This Row],[RN Hours Contract (W/ Admin, DON)]], Table39[[#This Row],[LPN Contract Hours (w/ Admin)]], Table39[[#This Row],[CNA/NA/Med Aide Contract Hours]])</f>
        <v>4.2555555555555555</v>
      </c>
      <c r="H54" s="4">
        <f>Table39[[#This Row],[Total Contract Hours]]/Table39[[#This Row],[Total Hours Nurse Staffing]]</f>
        <v>4.4138407905730502E-2</v>
      </c>
      <c r="I54" s="3">
        <f>SUM(Table39[[#This Row],[RN Hours]], Table39[[#This Row],[RN Admin Hours]], Table39[[#This Row],[RN DON Hours]])</f>
        <v>29.505555555555553</v>
      </c>
      <c r="J54" s="3">
        <f t="shared" si="3"/>
        <v>0</v>
      </c>
      <c r="K54" s="4">
        <f>Table39[[#This Row],[RN Hours Contract (W/ Admin, DON)]]/Table39[[#This Row],[RN Hours (w/ Admin, DON)]]</f>
        <v>0</v>
      </c>
      <c r="L54" s="3">
        <v>18.977777777777778</v>
      </c>
      <c r="M54" s="3">
        <v>0</v>
      </c>
      <c r="N54" s="4">
        <f>Table39[[#This Row],[RN Hours Contract]]/Table39[[#This Row],[RN Hours]]</f>
        <v>0</v>
      </c>
      <c r="O54" s="3">
        <v>5.0166666666666666</v>
      </c>
      <c r="P54" s="3">
        <v>0</v>
      </c>
      <c r="Q54" s="4">
        <f>Table39[[#This Row],[RN Admin Hours Contract]]/Table39[[#This Row],[RN Admin Hours]]</f>
        <v>0</v>
      </c>
      <c r="R54" s="3">
        <v>5.5111111111111111</v>
      </c>
      <c r="S54" s="3">
        <v>0</v>
      </c>
      <c r="T54" s="4">
        <f>Table39[[#This Row],[RN DON Hours Contract]]/Table39[[#This Row],[RN DON Hours]]</f>
        <v>0</v>
      </c>
      <c r="U54" s="3">
        <f>SUM(Table39[[#This Row],[LPN Hours]], Table39[[#This Row],[LPN Admin Hours]])</f>
        <v>5.6833333333333336</v>
      </c>
      <c r="V54" s="3">
        <f>Table39[[#This Row],[LPN Hours Contract]]+Table39[[#This Row],[LPN Admin Hours Contract]]</f>
        <v>0</v>
      </c>
      <c r="W54" s="4">
        <f t="shared" si="4"/>
        <v>0</v>
      </c>
      <c r="X54" s="3">
        <v>5.6833333333333336</v>
      </c>
      <c r="Y54" s="3">
        <v>0</v>
      </c>
      <c r="Z54" s="4">
        <f>Table39[[#This Row],[LPN Hours Contract]]/Table39[[#This Row],[LPN Hours]]</f>
        <v>0</v>
      </c>
      <c r="AA54" s="3">
        <v>0</v>
      </c>
      <c r="AB54" s="3">
        <v>0</v>
      </c>
      <c r="AC54" s="4">
        <v>0</v>
      </c>
      <c r="AD54" s="3">
        <f>SUM(Table39[[#This Row],[CNA Hours]], Table39[[#This Row],[NA in Training Hours]], Table39[[#This Row],[Med Aide/Tech Hours]])</f>
        <v>61.225000000000001</v>
      </c>
      <c r="AE54" s="3">
        <f>SUM(Table39[[#This Row],[CNA Hours Contract]], Table39[[#This Row],[NA in Training Hours Contract]], Table39[[#This Row],[Med Aide/Tech Hours Contract]])</f>
        <v>4.2555555555555555</v>
      </c>
      <c r="AF54" s="4">
        <f>Table39[[#This Row],[CNA/NA/Med Aide Contract Hours]]/Table39[[#This Row],[Total CNA, NA in Training, Med Aide/Tech Hours]]</f>
        <v>6.95068281838392E-2</v>
      </c>
      <c r="AG54" s="3">
        <v>53.761111111111113</v>
      </c>
      <c r="AH54" s="3">
        <v>4.2555555555555555</v>
      </c>
      <c r="AI54" s="4">
        <f>Table39[[#This Row],[CNA Hours Contract]]/Table39[[#This Row],[CNA Hours]]</f>
        <v>7.9156763459749924E-2</v>
      </c>
      <c r="AJ54" s="3">
        <v>0</v>
      </c>
      <c r="AK54" s="3">
        <v>0</v>
      </c>
      <c r="AL54" s="4">
        <v>0</v>
      </c>
      <c r="AM54" s="3">
        <v>7.4638888888888886</v>
      </c>
      <c r="AN54" s="3">
        <v>0</v>
      </c>
      <c r="AO54" s="4">
        <f>Table39[[#This Row],[Med Aide/Tech Hours Contract]]/Table39[[#This Row],[Med Aide/Tech Hours]]</f>
        <v>0</v>
      </c>
      <c r="AP54" s="1" t="s">
        <v>52</v>
      </c>
      <c r="AQ54" s="1">
        <v>10</v>
      </c>
    </row>
    <row r="55" spans="1:43" x14ac:dyDescent="0.2">
      <c r="A55" s="1" t="s">
        <v>128</v>
      </c>
      <c r="B55" s="1" t="s">
        <v>182</v>
      </c>
      <c r="C55" s="1" t="s">
        <v>299</v>
      </c>
      <c r="D55" s="1" t="s">
        <v>344</v>
      </c>
      <c r="E55" s="3">
        <v>41.966666666666669</v>
      </c>
      <c r="F55" s="3">
        <f t="shared" si="0"/>
        <v>208.28888888888889</v>
      </c>
      <c r="G55" s="3">
        <f>SUM(Table39[[#This Row],[RN Hours Contract (W/ Admin, DON)]], Table39[[#This Row],[LPN Contract Hours (w/ Admin)]], Table39[[#This Row],[CNA/NA/Med Aide Contract Hours]])</f>
        <v>11.972222222222221</v>
      </c>
      <c r="H55" s="4">
        <f>Table39[[#This Row],[Total Contract Hours]]/Table39[[#This Row],[Total Hours Nurse Staffing]]</f>
        <v>5.7478928838152137E-2</v>
      </c>
      <c r="I55" s="3">
        <f>SUM(Table39[[#This Row],[RN Hours]], Table39[[#This Row],[RN Admin Hours]], Table39[[#This Row],[RN DON Hours]])</f>
        <v>43.472222222222221</v>
      </c>
      <c r="J55" s="3">
        <f t="shared" si="3"/>
        <v>0.35</v>
      </c>
      <c r="K55" s="4">
        <f>Table39[[#This Row],[RN Hours Contract (W/ Admin, DON)]]/Table39[[#This Row],[RN Hours (w/ Admin, DON)]]</f>
        <v>8.0511182108626202E-3</v>
      </c>
      <c r="L55" s="3">
        <v>22.794444444444444</v>
      </c>
      <c r="M55" s="3">
        <v>0.35</v>
      </c>
      <c r="N55" s="4">
        <f>Table39[[#This Row],[RN Hours Contract]]/Table39[[#This Row],[RN Hours]]</f>
        <v>1.5354618571776748E-2</v>
      </c>
      <c r="O55" s="3">
        <v>15.202777777777778</v>
      </c>
      <c r="P55" s="3">
        <v>0</v>
      </c>
      <c r="Q55" s="4">
        <f>Table39[[#This Row],[RN Admin Hours Contract]]/Table39[[#This Row],[RN Admin Hours]]</f>
        <v>0</v>
      </c>
      <c r="R55" s="3">
        <v>5.4749999999999996</v>
      </c>
      <c r="S55" s="3">
        <v>0</v>
      </c>
      <c r="T55" s="4">
        <f>Table39[[#This Row],[RN DON Hours Contract]]/Table39[[#This Row],[RN DON Hours]]</f>
        <v>0</v>
      </c>
      <c r="U55" s="3">
        <f>SUM(Table39[[#This Row],[LPN Hours]], Table39[[#This Row],[LPN Admin Hours]])</f>
        <v>50.972222222222221</v>
      </c>
      <c r="V55" s="3">
        <f>Table39[[#This Row],[LPN Hours Contract]]+Table39[[#This Row],[LPN Admin Hours Contract]]</f>
        <v>3.0444444444444443</v>
      </c>
      <c r="W55" s="4">
        <f t="shared" si="4"/>
        <v>5.9727520435967303E-2</v>
      </c>
      <c r="X55" s="3">
        <v>46.505555555555553</v>
      </c>
      <c r="Y55" s="3">
        <v>3.0444444444444443</v>
      </c>
      <c r="Z55" s="4">
        <f>Table39[[#This Row],[LPN Hours Contract]]/Table39[[#This Row],[LPN Hours]]</f>
        <v>6.5464102257794768E-2</v>
      </c>
      <c r="AA55" s="3">
        <v>4.4666666666666668</v>
      </c>
      <c r="AB55" s="3">
        <v>0</v>
      </c>
      <c r="AC55" s="4">
        <f>Table39[[#This Row],[LPN Admin Hours Contract]]/Table39[[#This Row],[LPN Admin Hours]]</f>
        <v>0</v>
      </c>
      <c r="AD55" s="3">
        <f>SUM(Table39[[#This Row],[CNA Hours]], Table39[[#This Row],[NA in Training Hours]], Table39[[#This Row],[Med Aide/Tech Hours]])</f>
        <v>113.84444444444445</v>
      </c>
      <c r="AE55" s="3">
        <f>SUM(Table39[[#This Row],[CNA Hours Contract]], Table39[[#This Row],[NA in Training Hours Contract]], Table39[[#This Row],[Med Aide/Tech Hours Contract]])</f>
        <v>8.5777777777777775</v>
      </c>
      <c r="AF55" s="4">
        <f>Table39[[#This Row],[CNA/NA/Med Aide Contract Hours]]/Table39[[#This Row],[Total CNA, NA in Training, Med Aide/Tech Hours]]</f>
        <v>7.5346476673823923E-2</v>
      </c>
      <c r="AG55" s="3">
        <v>96.891666666666666</v>
      </c>
      <c r="AH55" s="3">
        <v>7.3888888888888893</v>
      </c>
      <c r="AI55" s="4">
        <f>Table39[[#This Row],[CNA Hours Contract]]/Table39[[#This Row],[CNA Hours]]</f>
        <v>7.6259281557294806E-2</v>
      </c>
      <c r="AJ55" s="3">
        <v>15.061111111111112</v>
      </c>
      <c r="AK55" s="3">
        <v>0</v>
      </c>
      <c r="AL55" s="4">
        <f>Table39[[#This Row],[NA in Training Hours Contract]]/Table39[[#This Row],[NA in Training Hours]]</f>
        <v>0</v>
      </c>
      <c r="AM55" s="3">
        <v>1.8916666666666666</v>
      </c>
      <c r="AN55" s="3">
        <v>1.1888888888888889</v>
      </c>
      <c r="AO55" s="4">
        <f>Table39[[#This Row],[Med Aide/Tech Hours Contract]]/Table39[[#This Row],[Med Aide/Tech Hours]]</f>
        <v>0.62848751835535976</v>
      </c>
      <c r="AP55" s="1" t="s">
        <v>53</v>
      </c>
      <c r="AQ55" s="1">
        <v>10</v>
      </c>
    </row>
    <row r="56" spans="1:43" x14ac:dyDescent="0.2">
      <c r="A56" s="1" t="s">
        <v>128</v>
      </c>
      <c r="B56" s="1" t="s">
        <v>183</v>
      </c>
      <c r="C56" s="1" t="s">
        <v>300</v>
      </c>
      <c r="D56" s="1" t="s">
        <v>320</v>
      </c>
      <c r="E56" s="3">
        <v>15.466666666666667</v>
      </c>
      <c r="F56" s="3">
        <f t="shared" si="0"/>
        <v>85.609666666666669</v>
      </c>
      <c r="G56" s="3">
        <f>SUM(Table39[[#This Row],[RN Hours Contract (W/ Admin, DON)]], Table39[[#This Row],[LPN Contract Hours (w/ Admin)]], Table39[[#This Row],[CNA/NA/Med Aide Contract Hours]])</f>
        <v>0</v>
      </c>
      <c r="H56" s="4">
        <f>Table39[[#This Row],[Total Contract Hours]]/Table39[[#This Row],[Total Hours Nurse Staffing]]</f>
        <v>0</v>
      </c>
      <c r="I56" s="3">
        <f>SUM(Table39[[#This Row],[RN Hours]], Table39[[#This Row],[RN Admin Hours]], Table39[[#This Row],[RN DON Hours]])</f>
        <v>16.983111111111111</v>
      </c>
      <c r="J56" s="3">
        <f t="shared" si="3"/>
        <v>0</v>
      </c>
      <c r="K56" s="4">
        <f>Table39[[#This Row],[RN Hours Contract (W/ Admin, DON)]]/Table39[[#This Row],[RN Hours (w/ Admin, DON)]]</f>
        <v>0</v>
      </c>
      <c r="L56" s="3">
        <v>15.064555555555556</v>
      </c>
      <c r="M56" s="3">
        <v>0</v>
      </c>
      <c r="N56" s="4">
        <f>Table39[[#This Row],[RN Hours Contract]]/Table39[[#This Row],[RN Hours]]</f>
        <v>0</v>
      </c>
      <c r="O56" s="3">
        <v>0.14077777777777775</v>
      </c>
      <c r="P56" s="3">
        <v>0</v>
      </c>
      <c r="Q56" s="4">
        <f>Table39[[#This Row],[RN Admin Hours Contract]]/Table39[[#This Row],[RN Admin Hours]]</f>
        <v>0</v>
      </c>
      <c r="R56" s="3">
        <v>1.7777777777777777</v>
      </c>
      <c r="S56" s="3">
        <v>0</v>
      </c>
      <c r="T56" s="4">
        <f>Table39[[#This Row],[RN DON Hours Contract]]/Table39[[#This Row],[RN DON Hours]]</f>
        <v>0</v>
      </c>
      <c r="U56" s="3">
        <f>SUM(Table39[[#This Row],[LPN Hours]], Table39[[#This Row],[LPN Admin Hours]])</f>
        <v>20.371444444444442</v>
      </c>
      <c r="V56" s="3">
        <f>Table39[[#This Row],[LPN Hours Contract]]+Table39[[#This Row],[LPN Admin Hours Contract]]</f>
        <v>0</v>
      </c>
      <c r="W56" s="4">
        <f t="shared" si="4"/>
        <v>0</v>
      </c>
      <c r="X56" s="3">
        <v>17.559333333333331</v>
      </c>
      <c r="Y56" s="3">
        <v>0</v>
      </c>
      <c r="Z56" s="4">
        <f>Table39[[#This Row],[LPN Hours Contract]]/Table39[[#This Row],[LPN Hours]]</f>
        <v>0</v>
      </c>
      <c r="AA56" s="3">
        <v>2.8121111111111117</v>
      </c>
      <c r="AB56" s="3">
        <v>0</v>
      </c>
      <c r="AC56" s="4">
        <f>Table39[[#This Row],[LPN Admin Hours Contract]]/Table39[[#This Row],[LPN Admin Hours]]</f>
        <v>0</v>
      </c>
      <c r="AD56" s="3">
        <f>SUM(Table39[[#This Row],[CNA Hours]], Table39[[#This Row],[NA in Training Hours]], Table39[[#This Row],[Med Aide/Tech Hours]])</f>
        <v>48.255111111111113</v>
      </c>
      <c r="AE56" s="3">
        <f>SUM(Table39[[#This Row],[CNA Hours Contract]], Table39[[#This Row],[NA in Training Hours Contract]], Table39[[#This Row],[Med Aide/Tech Hours Contract]])</f>
        <v>0</v>
      </c>
      <c r="AF56" s="4">
        <f>Table39[[#This Row],[CNA/NA/Med Aide Contract Hours]]/Table39[[#This Row],[Total CNA, NA in Training, Med Aide/Tech Hours]]</f>
        <v>0</v>
      </c>
      <c r="AG56" s="3">
        <v>45.604666666666667</v>
      </c>
      <c r="AH56" s="3">
        <v>0</v>
      </c>
      <c r="AI56" s="4">
        <f>Table39[[#This Row],[CNA Hours Contract]]/Table39[[#This Row],[CNA Hours]]</f>
        <v>0</v>
      </c>
      <c r="AJ56" s="3">
        <v>2.6504444444444442</v>
      </c>
      <c r="AK56" s="3">
        <v>0</v>
      </c>
      <c r="AL56" s="4">
        <f>Table39[[#This Row],[NA in Training Hours Contract]]/Table39[[#This Row],[NA in Training Hours]]</f>
        <v>0</v>
      </c>
      <c r="AM56" s="3">
        <v>0</v>
      </c>
      <c r="AN56" s="3">
        <v>0</v>
      </c>
      <c r="AO56" s="4">
        <v>0</v>
      </c>
      <c r="AP56" s="1" t="s">
        <v>54</v>
      </c>
      <c r="AQ56" s="1">
        <v>10</v>
      </c>
    </row>
    <row r="57" spans="1:43" x14ac:dyDescent="0.2">
      <c r="A57" s="1" t="s">
        <v>128</v>
      </c>
      <c r="B57" s="1" t="s">
        <v>184</v>
      </c>
      <c r="C57" s="1" t="s">
        <v>301</v>
      </c>
      <c r="D57" s="1" t="s">
        <v>335</v>
      </c>
      <c r="E57" s="3">
        <v>44.088888888888889</v>
      </c>
      <c r="F57" s="3">
        <f t="shared" si="0"/>
        <v>220.65888888888887</v>
      </c>
      <c r="G57" s="3">
        <f>SUM(Table39[[#This Row],[RN Hours Contract (W/ Admin, DON)]], Table39[[#This Row],[LPN Contract Hours (w/ Admin)]], Table39[[#This Row],[CNA/NA/Med Aide Contract Hours]])</f>
        <v>7.3415555555555532</v>
      </c>
      <c r="H57" s="4">
        <f>Table39[[#This Row],[Total Contract Hours]]/Table39[[#This Row],[Total Hours Nurse Staffing]]</f>
        <v>3.3271061920611494E-2</v>
      </c>
      <c r="I57" s="3">
        <f>SUM(Table39[[#This Row],[RN Hours]], Table39[[#This Row],[RN Admin Hours]], Table39[[#This Row],[RN DON Hours]])</f>
        <v>19.693333333333335</v>
      </c>
      <c r="J57" s="3">
        <f t="shared" si="3"/>
        <v>0.89722222222222225</v>
      </c>
      <c r="K57" s="4">
        <f>Table39[[#This Row],[RN Hours Contract (W/ Admin, DON)]]/Table39[[#This Row],[RN Hours (w/ Admin, DON)]]</f>
        <v>4.555969307154141E-2</v>
      </c>
      <c r="L57" s="3">
        <v>9.6418888888888894</v>
      </c>
      <c r="M57" s="3">
        <v>0.89722222222222225</v>
      </c>
      <c r="N57" s="4">
        <f>Table39[[#This Row],[RN Hours Contract]]/Table39[[#This Row],[RN Hours]]</f>
        <v>9.3054611244915125E-2</v>
      </c>
      <c r="O57" s="3">
        <v>4.4347777777777786</v>
      </c>
      <c r="P57" s="3">
        <v>0</v>
      </c>
      <c r="Q57" s="4">
        <f>Table39[[#This Row],[RN Admin Hours Contract]]/Table39[[#This Row],[RN Admin Hours]]</f>
        <v>0</v>
      </c>
      <c r="R57" s="3">
        <v>5.6166666666666663</v>
      </c>
      <c r="S57" s="3">
        <v>0</v>
      </c>
      <c r="T57" s="4">
        <f>Table39[[#This Row],[RN DON Hours Contract]]/Table39[[#This Row],[RN DON Hours]]</f>
        <v>0</v>
      </c>
      <c r="U57" s="3">
        <f>SUM(Table39[[#This Row],[LPN Hours]], Table39[[#This Row],[LPN Admin Hours]])</f>
        <v>53.165111111111102</v>
      </c>
      <c r="V57" s="3">
        <f>Table39[[#This Row],[LPN Hours Contract]]+Table39[[#This Row],[LPN Admin Hours Contract]]</f>
        <v>0.31855555555555559</v>
      </c>
      <c r="W57" s="4">
        <f t="shared" si="4"/>
        <v>5.9918158525014333E-3</v>
      </c>
      <c r="X57" s="3">
        <v>43.340888888888884</v>
      </c>
      <c r="Y57" s="3">
        <v>0.31855555555555559</v>
      </c>
      <c r="Z57" s="4">
        <f>Table39[[#This Row],[LPN Hours Contract]]/Table39[[#This Row],[LPN Hours]]</f>
        <v>7.3500005127311151E-3</v>
      </c>
      <c r="AA57" s="3">
        <v>9.8242222222222217</v>
      </c>
      <c r="AB57" s="3">
        <v>0</v>
      </c>
      <c r="AC57" s="4">
        <f>Table39[[#This Row],[LPN Admin Hours Contract]]/Table39[[#This Row],[LPN Admin Hours]]</f>
        <v>0</v>
      </c>
      <c r="AD57" s="3">
        <f>SUM(Table39[[#This Row],[CNA Hours]], Table39[[#This Row],[NA in Training Hours]], Table39[[#This Row],[Med Aide/Tech Hours]])</f>
        <v>147.80044444444442</v>
      </c>
      <c r="AE57" s="3">
        <f>SUM(Table39[[#This Row],[CNA Hours Contract]], Table39[[#This Row],[NA in Training Hours Contract]], Table39[[#This Row],[Med Aide/Tech Hours Contract]])</f>
        <v>6.1257777777777758</v>
      </c>
      <c r="AF57" s="4">
        <f>Table39[[#This Row],[CNA/NA/Med Aide Contract Hours]]/Table39[[#This Row],[Total CNA, NA in Training, Med Aide/Tech Hours]]</f>
        <v>4.144627440603095E-2</v>
      </c>
      <c r="AG57" s="3">
        <v>124.43477777777777</v>
      </c>
      <c r="AH57" s="3">
        <v>6.1257777777777758</v>
      </c>
      <c r="AI57" s="4">
        <f>Table39[[#This Row],[CNA Hours Contract]]/Table39[[#This Row],[CNA Hours]]</f>
        <v>4.9228824024723339E-2</v>
      </c>
      <c r="AJ57" s="3">
        <v>17.050222222222228</v>
      </c>
      <c r="AK57" s="3">
        <v>0</v>
      </c>
      <c r="AL57" s="4">
        <f>Table39[[#This Row],[NA in Training Hours Contract]]/Table39[[#This Row],[NA in Training Hours]]</f>
        <v>0</v>
      </c>
      <c r="AM57" s="3">
        <v>6.315444444444446</v>
      </c>
      <c r="AN57" s="3">
        <v>0</v>
      </c>
      <c r="AO57" s="4">
        <f>Table39[[#This Row],[Med Aide/Tech Hours Contract]]/Table39[[#This Row],[Med Aide/Tech Hours]]</f>
        <v>0</v>
      </c>
      <c r="AP57" s="1" t="s">
        <v>55</v>
      </c>
      <c r="AQ57" s="1">
        <v>10</v>
      </c>
    </row>
    <row r="58" spans="1:43" x14ac:dyDescent="0.2">
      <c r="A58" s="1" t="s">
        <v>128</v>
      </c>
      <c r="B58" s="1" t="s">
        <v>185</v>
      </c>
      <c r="C58" s="1" t="s">
        <v>263</v>
      </c>
      <c r="D58" s="1" t="s">
        <v>334</v>
      </c>
      <c r="E58" s="3">
        <v>56.944444444444443</v>
      </c>
      <c r="F58" s="3">
        <f t="shared" si="0"/>
        <v>280.81944444444446</v>
      </c>
      <c r="G58" s="3">
        <f>SUM(Table39[[#This Row],[RN Hours Contract (W/ Admin, DON)]], Table39[[#This Row],[LPN Contract Hours (w/ Admin)]], Table39[[#This Row],[CNA/NA/Med Aide Contract Hours]])</f>
        <v>4.0166666666666666</v>
      </c>
      <c r="H58" s="4">
        <f>Table39[[#This Row],[Total Contract Hours]]/Table39[[#This Row],[Total Hours Nurse Staffing]]</f>
        <v>1.4303378010781936E-2</v>
      </c>
      <c r="I58" s="3">
        <f>SUM(Table39[[#This Row],[RN Hours]], Table39[[#This Row],[RN Admin Hours]], Table39[[#This Row],[RN DON Hours]])</f>
        <v>39.833333333333336</v>
      </c>
      <c r="J58" s="3">
        <f t="shared" si="3"/>
        <v>0.85555555555555551</v>
      </c>
      <c r="K58" s="4">
        <f>Table39[[#This Row],[RN Hours Contract (W/ Admin, DON)]]/Table39[[#This Row],[RN Hours (w/ Admin, DON)]]</f>
        <v>2.1478382147838211E-2</v>
      </c>
      <c r="L58" s="3">
        <v>12.633333333333333</v>
      </c>
      <c r="M58" s="3">
        <v>0.85555555555555551</v>
      </c>
      <c r="N58" s="4">
        <f>Table39[[#This Row],[RN Hours Contract]]/Table39[[#This Row],[RN Hours]]</f>
        <v>6.7722075637642917E-2</v>
      </c>
      <c r="O58" s="3">
        <v>21.244444444444444</v>
      </c>
      <c r="P58" s="3">
        <v>0</v>
      </c>
      <c r="Q58" s="4">
        <f>Table39[[#This Row],[RN Admin Hours Contract]]/Table39[[#This Row],[RN Admin Hours]]</f>
        <v>0</v>
      </c>
      <c r="R58" s="3">
        <v>5.9555555555555557</v>
      </c>
      <c r="S58" s="3">
        <v>0</v>
      </c>
      <c r="T58" s="4">
        <f>Table39[[#This Row],[RN DON Hours Contract]]/Table39[[#This Row],[RN DON Hours]]</f>
        <v>0</v>
      </c>
      <c r="U58" s="3">
        <f>SUM(Table39[[#This Row],[LPN Hours]], Table39[[#This Row],[LPN Admin Hours]])</f>
        <v>76.894444444444446</v>
      </c>
      <c r="V58" s="3">
        <f>Table39[[#This Row],[LPN Hours Contract]]+Table39[[#This Row],[LPN Admin Hours Contract]]</f>
        <v>2.8250000000000002</v>
      </c>
      <c r="W58" s="4">
        <f t="shared" si="4"/>
        <v>3.6738674951231849E-2</v>
      </c>
      <c r="X58" s="3">
        <v>76.894444444444446</v>
      </c>
      <c r="Y58" s="3">
        <v>2.8250000000000002</v>
      </c>
      <c r="Z58" s="4">
        <f>Table39[[#This Row],[LPN Hours Contract]]/Table39[[#This Row],[LPN Hours]]</f>
        <v>3.6738674951231849E-2</v>
      </c>
      <c r="AA58" s="3">
        <v>0</v>
      </c>
      <c r="AB58" s="3">
        <v>0</v>
      </c>
      <c r="AC58" s="4">
        <v>0</v>
      </c>
      <c r="AD58" s="3">
        <f>SUM(Table39[[#This Row],[CNA Hours]], Table39[[#This Row],[NA in Training Hours]], Table39[[#This Row],[Med Aide/Tech Hours]])</f>
        <v>164.09166666666667</v>
      </c>
      <c r="AE58" s="3">
        <f>SUM(Table39[[#This Row],[CNA Hours Contract]], Table39[[#This Row],[NA in Training Hours Contract]], Table39[[#This Row],[Med Aide/Tech Hours Contract]])</f>
        <v>0.33611111111111114</v>
      </c>
      <c r="AF58" s="4">
        <f>Table39[[#This Row],[CNA/NA/Med Aide Contract Hours]]/Table39[[#This Row],[Total CNA, NA in Training, Med Aide/Tech Hours]]</f>
        <v>2.0483131041254044E-3</v>
      </c>
      <c r="AG58" s="3">
        <v>144.49166666666667</v>
      </c>
      <c r="AH58" s="3">
        <v>0.33611111111111114</v>
      </c>
      <c r="AI58" s="4">
        <f>Table39[[#This Row],[CNA Hours Contract]]/Table39[[#This Row],[CNA Hours]]</f>
        <v>2.3261626006882367E-3</v>
      </c>
      <c r="AJ58" s="3">
        <v>19.600000000000001</v>
      </c>
      <c r="AK58" s="3">
        <v>0</v>
      </c>
      <c r="AL58" s="4">
        <f>Table39[[#This Row],[NA in Training Hours Contract]]/Table39[[#This Row],[NA in Training Hours]]</f>
        <v>0</v>
      </c>
      <c r="AM58" s="3">
        <v>0</v>
      </c>
      <c r="AN58" s="3">
        <v>0</v>
      </c>
      <c r="AO58" s="4">
        <v>0</v>
      </c>
      <c r="AP58" s="1" t="s">
        <v>56</v>
      </c>
      <c r="AQ58" s="1">
        <v>10</v>
      </c>
    </row>
    <row r="59" spans="1:43" x14ac:dyDescent="0.2">
      <c r="A59" s="1" t="s">
        <v>128</v>
      </c>
      <c r="B59" s="1" t="s">
        <v>186</v>
      </c>
      <c r="C59" s="1" t="s">
        <v>281</v>
      </c>
      <c r="D59" s="1" t="s">
        <v>335</v>
      </c>
      <c r="E59" s="3">
        <v>92.766666666666666</v>
      </c>
      <c r="F59" s="3">
        <f t="shared" si="0"/>
        <v>428.91144444444444</v>
      </c>
      <c r="G59" s="3">
        <f>SUM(Table39[[#This Row],[RN Hours Contract (W/ Admin, DON)]], Table39[[#This Row],[LPN Contract Hours (w/ Admin)]], Table39[[#This Row],[CNA/NA/Med Aide Contract Hours]])</f>
        <v>148.50033333333332</v>
      </c>
      <c r="H59" s="4">
        <f>Table39[[#This Row],[Total Contract Hours]]/Table39[[#This Row],[Total Hours Nurse Staffing]]</f>
        <v>0.34622609225473372</v>
      </c>
      <c r="I59" s="3">
        <f>SUM(Table39[[#This Row],[RN Hours]], Table39[[#This Row],[RN Admin Hours]], Table39[[#This Row],[RN DON Hours]])</f>
        <v>31.939777777777778</v>
      </c>
      <c r="J59" s="3">
        <f t="shared" si="3"/>
        <v>7.6036666666666655</v>
      </c>
      <c r="K59" s="4">
        <f>Table39[[#This Row],[RN Hours Contract (W/ Admin, DON)]]/Table39[[#This Row],[RN Hours (w/ Admin, DON)]]</f>
        <v>0.23806260392822601</v>
      </c>
      <c r="L59" s="3">
        <v>12.414777777777777</v>
      </c>
      <c r="M59" s="3">
        <v>7.6036666666666655</v>
      </c>
      <c r="N59" s="4">
        <f>Table39[[#This Row],[RN Hours Contract]]/Table39[[#This Row],[RN Hours]]</f>
        <v>0.61246901094573669</v>
      </c>
      <c r="O59" s="3">
        <v>13.83611111111111</v>
      </c>
      <c r="P59" s="3">
        <v>0</v>
      </c>
      <c r="Q59" s="4">
        <f>Table39[[#This Row],[RN Admin Hours Contract]]/Table39[[#This Row],[RN Admin Hours]]</f>
        <v>0</v>
      </c>
      <c r="R59" s="3">
        <v>5.6888888888888891</v>
      </c>
      <c r="S59" s="3">
        <v>0</v>
      </c>
      <c r="T59" s="4">
        <f>Table39[[#This Row],[RN DON Hours Contract]]/Table39[[#This Row],[RN DON Hours]]</f>
        <v>0</v>
      </c>
      <c r="U59" s="3">
        <f>SUM(Table39[[#This Row],[LPN Hours]], Table39[[#This Row],[LPN Admin Hours]])</f>
        <v>125.25777777777779</v>
      </c>
      <c r="V59" s="3">
        <f>Table39[[#This Row],[LPN Hours Contract]]+Table39[[#This Row],[LPN Admin Hours Contract]]</f>
        <v>24.377222222222219</v>
      </c>
      <c r="W59" s="4">
        <f t="shared" si="4"/>
        <v>0.19461643543980409</v>
      </c>
      <c r="X59" s="3">
        <v>125.08000000000001</v>
      </c>
      <c r="Y59" s="3">
        <v>24.377222222222219</v>
      </c>
      <c r="Z59" s="4">
        <f>Table39[[#This Row],[LPN Hours Contract]]/Table39[[#This Row],[LPN Hours]]</f>
        <v>0.1948930462281917</v>
      </c>
      <c r="AA59" s="3">
        <v>0.17777777777777778</v>
      </c>
      <c r="AB59" s="3">
        <v>0</v>
      </c>
      <c r="AC59" s="4">
        <f>Table39[[#This Row],[LPN Admin Hours Contract]]/Table39[[#This Row],[LPN Admin Hours]]</f>
        <v>0</v>
      </c>
      <c r="AD59" s="3">
        <f>SUM(Table39[[#This Row],[CNA Hours]], Table39[[#This Row],[NA in Training Hours]], Table39[[#This Row],[Med Aide/Tech Hours]])</f>
        <v>271.71388888888885</v>
      </c>
      <c r="AE59" s="3">
        <f>SUM(Table39[[#This Row],[CNA Hours Contract]], Table39[[#This Row],[NA in Training Hours Contract]], Table39[[#This Row],[Med Aide/Tech Hours Contract]])</f>
        <v>116.51944444444443</v>
      </c>
      <c r="AF59" s="4">
        <f>Table39[[#This Row],[CNA/NA/Med Aide Contract Hours]]/Table39[[#This Row],[Total CNA, NA in Training, Med Aide/Tech Hours]]</f>
        <v>0.42883138922682151</v>
      </c>
      <c r="AG59" s="3">
        <v>253.74677777777777</v>
      </c>
      <c r="AH59" s="3">
        <v>107.10788888888888</v>
      </c>
      <c r="AI59" s="4">
        <f>Table39[[#This Row],[CNA Hours Contract]]/Table39[[#This Row],[CNA Hours]]</f>
        <v>0.42210541480329689</v>
      </c>
      <c r="AJ59" s="3">
        <v>3.1222222222222222</v>
      </c>
      <c r="AK59" s="3">
        <v>0</v>
      </c>
      <c r="AL59" s="4">
        <f>Table39[[#This Row],[NA in Training Hours Contract]]/Table39[[#This Row],[NA in Training Hours]]</f>
        <v>0</v>
      </c>
      <c r="AM59" s="3">
        <v>14.844888888888891</v>
      </c>
      <c r="AN59" s="3">
        <v>9.4115555555555535</v>
      </c>
      <c r="AO59" s="4">
        <f>Table39[[#This Row],[Med Aide/Tech Hours Contract]]/Table39[[#This Row],[Med Aide/Tech Hours]]</f>
        <v>0.63399299422172972</v>
      </c>
      <c r="AP59" s="1" t="s">
        <v>57</v>
      </c>
      <c r="AQ59" s="1">
        <v>10</v>
      </c>
    </row>
    <row r="60" spans="1:43" x14ac:dyDescent="0.2">
      <c r="A60" s="1" t="s">
        <v>128</v>
      </c>
      <c r="B60" s="1" t="s">
        <v>187</v>
      </c>
      <c r="C60" s="1" t="s">
        <v>263</v>
      </c>
      <c r="D60" s="1" t="s">
        <v>334</v>
      </c>
      <c r="E60" s="3">
        <v>46.2</v>
      </c>
      <c r="F60" s="3">
        <f t="shared" si="0"/>
        <v>275.72333333333336</v>
      </c>
      <c r="G60" s="3">
        <f>SUM(Table39[[#This Row],[RN Hours Contract (W/ Admin, DON)]], Table39[[#This Row],[LPN Contract Hours (w/ Admin)]], Table39[[#This Row],[CNA/NA/Med Aide Contract Hours]])</f>
        <v>0</v>
      </c>
      <c r="H60" s="4">
        <f>Table39[[#This Row],[Total Contract Hours]]/Table39[[#This Row],[Total Hours Nurse Staffing]]</f>
        <v>0</v>
      </c>
      <c r="I60" s="3">
        <f>SUM(Table39[[#This Row],[RN Hours]], Table39[[#This Row],[RN Admin Hours]], Table39[[#This Row],[RN DON Hours]])</f>
        <v>48.789777777777779</v>
      </c>
      <c r="J60" s="3">
        <f t="shared" si="3"/>
        <v>0</v>
      </c>
      <c r="K60" s="4">
        <f>Table39[[#This Row],[RN Hours Contract (W/ Admin, DON)]]/Table39[[#This Row],[RN Hours (w/ Admin, DON)]]</f>
        <v>0</v>
      </c>
      <c r="L60" s="3">
        <v>20.138666666666666</v>
      </c>
      <c r="M60" s="3">
        <v>0</v>
      </c>
      <c r="N60" s="4">
        <f>Table39[[#This Row],[RN Hours Contract]]/Table39[[#This Row],[RN Hours]]</f>
        <v>0</v>
      </c>
      <c r="O60" s="3">
        <v>23.117777777777782</v>
      </c>
      <c r="P60" s="3">
        <v>0</v>
      </c>
      <c r="Q60" s="4">
        <f>Table39[[#This Row],[RN Admin Hours Contract]]/Table39[[#This Row],[RN Admin Hours]]</f>
        <v>0</v>
      </c>
      <c r="R60" s="3">
        <v>5.5333333333333332</v>
      </c>
      <c r="S60" s="3">
        <v>0</v>
      </c>
      <c r="T60" s="4">
        <f>Table39[[#This Row],[RN DON Hours Contract]]/Table39[[#This Row],[RN DON Hours]]</f>
        <v>0</v>
      </c>
      <c r="U60" s="3">
        <f>SUM(Table39[[#This Row],[LPN Hours]], Table39[[#This Row],[LPN Admin Hours]])</f>
        <v>46.805444444444447</v>
      </c>
      <c r="V60" s="3">
        <f>Table39[[#This Row],[LPN Hours Contract]]+Table39[[#This Row],[LPN Admin Hours Contract]]</f>
        <v>0</v>
      </c>
      <c r="W60" s="4">
        <f t="shared" si="4"/>
        <v>0</v>
      </c>
      <c r="X60" s="3">
        <v>42.364000000000004</v>
      </c>
      <c r="Y60" s="3">
        <v>0</v>
      </c>
      <c r="Z60" s="4">
        <f>Table39[[#This Row],[LPN Hours Contract]]/Table39[[#This Row],[LPN Hours]]</f>
        <v>0</v>
      </c>
      <c r="AA60" s="3">
        <v>4.4414444444444436</v>
      </c>
      <c r="AB60" s="3">
        <v>0</v>
      </c>
      <c r="AC60" s="4">
        <f>Table39[[#This Row],[LPN Admin Hours Contract]]/Table39[[#This Row],[LPN Admin Hours]]</f>
        <v>0</v>
      </c>
      <c r="AD60" s="3">
        <f>SUM(Table39[[#This Row],[CNA Hours]], Table39[[#This Row],[NA in Training Hours]], Table39[[#This Row],[Med Aide/Tech Hours]])</f>
        <v>180.12811111111114</v>
      </c>
      <c r="AE60" s="3">
        <f>SUM(Table39[[#This Row],[CNA Hours Contract]], Table39[[#This Row],[NA in Training Hours Contract]], Table39[[#This Row],[Med Aide/Tech Hours Contract]])</f>
        <v>0</v>
      </c>
      <c r="AF60" s="4">
        <f>Table39[[#This Row],[CNA/NA/Med Aide Contract Hours]]/Table39[[#This Row],[Total CNA, NA in Training, Med Aide/Tech Hours]]</f>
        <v>0</v>
      </c>
      <c r="AG60" s="3">
        <v>149.47988888888889</v>
      </c>
      <c r="AH60" s="3">
        <v>0</v>
      </c>
      <c r="AI60" s="4">
        <f>Table39[[#This Row],[CNA Hours Contract]]/Table39[[#This Row],[CNA Hours]]</f>
        <v>0</v>
      </c>
      <c r="AJ60" s="3">
        <v>3.7739999999999996</v>
      </c>
      <c r="AK60" s="3">
        <v>0</v>
      </c>
      <c r="AL60" s="4">
        <f>Table39[[#This Row],[NA in Training Hours Contract]]/Table39[[#This Row],[NA in Training Hours]]</f>
        <v>0</v>
      </c>
      <c r="AM60" s="3">
        <v>26.87422222222223</v>
      </c>
      <c r="AN60" s="3">
        <v>0</v>
      </c>
      <c r="AO60" s="4">
        <f>Table39[[#This Row],[Med Aide/Tech Hours Contract]]/Table39[[#This Row],[Med Aide/Tech Hours]]</f>
        <v>0</v>
      </c>
      <c r="AP60" s="1" t="s">
        <v>58</v>
      </c>
      <c r="AQ60" s="1">
        <v>10</v>
      </c>
    </row>
    <row r="61" spans="1:43" x14ac:dyDescent="0.2">
      <c r="A61" s="1" t="s">
        <v>128</v>
      </c>
      <c r="B61" s="1" t="s">
        <v>188</v>
      </c>
      <c r="C61" s="1" t="s">
        <v>270</v>
      </c>
      <c r="D61" s="1" t="s">
        <v>328</v>
      </c>
      <c r="E61" s="3">
        <v>35.088888888888889</v>
      </c>
      <c r="F61" s="3">
        <f t="shared" si="0"/>
        <v>139.64255555555556</v>
      </c>
      <c r="G61" s="3">
        <f>SUM(Table39[[#This Row],[RN Hours Contract (W/ Admin, DON)]], Table39[[#This Row],[LPN Contract Hours (w/ Admin)]], Table39[[#This Row],[CNA/NA/Med Aide Contract Hours]])</f>
        <v>14.284222222222223</v>
      </c>
      <c r="H61" s="4">
        <f>Table39[[#This Row],[Total Contract Hours]]/Table39[[#This Row],[Total Hours Nurse Staffing]]</f>
        <v>0.1022913263467122</v>
      </c>
      <c r="I61" s="3">
        <f>SUM(Table39[[#This Row],[RN Hours]], Table39[[#This Row],[RN Admin Hours]], Table39[[#This Row],[RN DON Hours]])</f>
        <v>11.647222222222222</v>
      </c>
      <c r="J61" s="3">
        <f t="shared" si="3"/>
        <v>0</v>
      </c>
      <c r="K61" s="4">
        <f>Table39[[#This Row],[RN Hours Contract (W/ Admin, DON)]]/Table39[[#This Row],[RN Hours (w/ Admin, DON)]]</f>
        <v>0</v>
      </c>
      <c r="L61" s="3">
        <v>0.7</v>
      </c>
      <c r="M61" s="3">
        <v>0</v>
      </c>
      <c r="N61" s="4">
        <f>Table39[[#This Row],[RN Hours Contract]]/Table39[[#This Row],[RN Hours]]</f>
        <v>0</v>
      </c>
      <c r="O61" s="3">
        <v>4.8972222222222221</v>
      </c>
      <c r="P61" s="3">
        <v>0</v>
      </c>
      <c r="Q61" s="4">
        <f>Table39[[#This Row],[RN Admin Hours Contract]]/Table39[[#This Row],[RN Admin Hours]]</f>
        <v>0</v>
      </c>
      <c r="R61" s="3">
        <v>6.05</v>
      </c>
      <c r="S61" s="3">
        <v>0</v>
      </c>
      <c r="T61" s="4">
        <f>Table39[[#This Row],[RN DON Hours Contract]]/Table39[[#This Row],[RN DON Hours]]</f>
        <v>0</v>
      </c>
      <c r="U61" s="3">
        <f>SUM(Table39[[#This Row],[LPN Hours]], Table39[[#This Row],[LPN Admin Hours]])</f>
        <v>30.74722222222222</v>
      </c>
      <c r="V61" s="3">
        <f>Table39[[#This Row],[LPN Hours Contract]]+Table39[[#This Row],[LPN Admin Hours Contract]]</f>
        <v>0.51388888888888884</v>
      </c>
      <c r="W61" s="4">
        <f t="shared" si="4"/>
        <v>1.6713343572138405E-2</v>
      </c>
      <c r="X61" s="3">
        <v>24.633333333333333</v>
      </c>
      <c r="Y61" s="3">
        <v>0.51388888888888884</v>
      </c>
      <c r="Z61" s="4">
        <f>Table39[[#This Row],[LPN Hours Contract]]/Table39[[#This Row],[LPN Hours]]</f>
        <v>2.0861524582769506E-2</v>
      </c>
      <c r="AA61" s="3">
        <v>6.1138888888888889</v>
      </c>
      <c r="AB61" s="3">
        <v>0</v>
      </c>
      <c r="AC61" s="4">
        <f>Table39[[#This Row],[LPN Admin Hours Contract]]/Table39[[#This Row],[LPN Admin Hours]]</f>
        <v>0</v>
      </c>
      <c r="AD61" s="3">
        <f>SUM(Table39[[#This Row],[CNA Hours]], Table39[[#This Row],[NA in Training Hours]], Table39[[#This Row],[Med Aide/Tech Hours]])</f>
        <v>97.248111111111115</v>
      </c>
      <c r="AE61" s="3">
        <f>SUM(Table39[[#This Row],[CNA Hours Contract]], Table39[[#This Row],[NA in Training Hours Contract]], Table39[[#This Row],[Med Aide/Tech Hours Contract]])</f>
        <v>13.770333333333333</v>
      </c>
      <c r="AF61" s="4">
        <f>Table39[[#This Row],[CNA/NA/Med Aide Contract Hours]]/Table39[[#This Row],[Total CNA, NA in Training, Med Aide/Tech Hours]]</f>
        <v>0.14160000822638086</v>
      </c>
      <c r="AG61" s="3">
        <v>75.992555555555555</v>
      </c>
      <c r="AH61" s="3">
        <v>13.770333333333333</v>
      </c>
      <c r="AI61" s="4">
        <f>Table39[[#This Row],[CNA Hours Contract]]/Table39[[#This Row],[CNA Hours]]</f>
        <v>0.18120634623566928</v>
      </c>
      <c r="AJ61" s="3">
        <v>5.822222222222222</v>
      </c>
      <c r="AK61" s="3">
        <v>0</v>
      </c>
      <c r="AL61" s="4">
        <f>Table39[[#This Row],[NA in Training Hours Contract]]/Table39[[#This Row],[NA in Training Hours]]</f>
        <v>0</v>
      </c>
      <c r="AM61" s="3">
        <v>15.433333333333334</v>
      </c>
      <c r="AN61" s="3">
        <v>0</v>
      </c>
      <c r="AO61" s="4">
        <f>Table39[[#This Row],[Med Aide/Tech Hours Contract]]/Table39[[#This Row],[Med Aide/Tech Hours]]</f>
        <v>0</v>
      </c>
      <c r="AP61" s="1" t="s">
        <v>59</v>
      </c>
      <c r="AQ61" s="1">
        <v>10</v>
      </c>
    </row>
    <row r="62" spans="1:43" x14ac:dyDescent="0.2">
      <c r="A62" s="1" t="s">
        <v>128</v>
      </c>
      <c r="B62" s="1" t="s">
        <v>189</v>
      </c>
      <c r="C62" s="1" t="s">
        <v>259</v>
      </c>
      <c r="D62" s="1" t="s">
        <v>322</v>
      </c>
      <c r="E62" s="3">
        <v>71.577777777777783</v>
      </c>
      <c r="F62" s="3">
        <f t="shared" si="0"/>
        <v>334.92688888888887</v>
      </c>
      <c r="G62" s="3">
        <f>SUM(Table39[[#This Row],[RN Hours Contract (W/ Admin, DON)]], Table39[[#This Row],[LPN Contract Hours (w/ Admin)]], Table39[[#This Row],[CNA/NA/Med Aide Contract Hours]])</f>
        <v>3.5741111111111112</v>
      </c>
      <c r="H62" s="4">
        <f>Table39[[#This Row],[Total Contract Hours]]/Table39[[#This Row],[Total Hours Nurse Staffing]]</f>
        <v>1.0671317322321091E-2</v>
      </c>
      <c r="I62" s="3">
        <f>SUM(Table39[[#This Row],[RN Hours]], Table39[[#This Row],[RN Admin Hours]], Table39[[#This Row],[RN DON Hours]])</f>
        <v>55.219444444444441</v>
      </c>
      <c r="J62" s="3">
        <f t="shared" si="3"/>
        <v>8.8888888888888892E-2</v>
      </c>
      <c r="K62" s="4">
        <f>Table39[[#This Row],[RN Hours Contract (W/ Admin, DON)]]/Table39[[#This Row],[RN Hours (w/ Admin, DON)]]</f>
        <v>1.6097389204688367E-3</v>
      </c>
      <c r="L62" s="3">
        <v>43.174999999999997</v>
      </c>
      <c r="M62" s="3">
        <v>8.8888888888888892E-2</v>
      </c>
      <c r="N62" s="4">
        <f>Table39[[#This Row],[RN Hours Contract]]/Table39[[#This Row],[RN Hours]]</f>
        <v>2.0588046065753074E-3</v>
      </c>
      <c r="O62" s="3">
        <v>5.5111111111111111</v>
      </c>
      <c r="P62" s="3">
        <v>0</v>
      </c>
      <c r="Q62" s="4">
        <f>Table39[[#This Row],[RN Admin Hours Contract]]/Table39[[#This Row],[RN Admin Hours]]</f>
        <v>0</v>
      </c>
      <c r="R62" s="3">
        <v>6.5333333333333332</v>
      </c>
      <c r="S62" s="3">
        <v>0</v>
      </c>
      <c r="T62" s="4">
        <f>Table39[[#This Row],[RN DON Hours Contract]]/Table39[[#This Row],[RN DON Hours]]</f>
        <v>0</v>
      </c>
      <c r="U62" s="3">
        <f>SUM(Table39[[#This Row],[LPN Hours]], Table39[[#This Row],[LPN Admin Hours]])</f>
        <v>79.161111111111111</v>
      </c>
      <c r="V62" s="3">
        <f>Table39[[#This Row],[LPN Hours Contract]]+Table39[[#This Row],[LPN Admin Hours Contract]]</f>
        <v>0</v>
      </c>
      <c r="W62" s="4">
        <f t="shared" si="4"/>
        <v>0</v>
      </c>
      <c r="X62" s="3">
        <v>75.338888888888889</v>
      </c>
      <c r="Y62" s="3">
        <v>0</v>
      </c>
      <c r="Z62" s="4">
        <f>Table39[[#This Row],[LPN Hours Contract]]/Table39[[#This Row],[LPN Hours]]</f>
        <v>0</v>
      </c>
      <c r="AA62" s="3">
        <v>3.8222222222222224</v>
      </c>
      <c r="AB62" s="3">
        <v>0</v>
      </c>
      <c r="AC62" s="4">
        <f>Table39[[#This Row],[LPN Admin Hours Contract]]/Table39[[#This Row],[LPN Admin Hours]]</f>
        <v>0</v>
      </c>
      <c r="AD62" s="3">
        <f>SUM(Table39[[#This Row],[CNA Hours]], Table39[[#This Row],[NA in Training Hours]], Table39[[#This Row],[Med Aide/Tech Hours]])</f>
        <v>200.54633333333331</v>
      </c>
      <c r="AE62" s="3">
        <f>SUM(Table39[[#This Row],[CNA Hours Contract]], Table39[[#This Row],[NA in Training Hours Contract]], Table39[[#This Row],[Med Aide/Tech Hours Contract]])</f>
        <v>3.4852222222222222</v>
      </c>
      <c r="AF62" s="4">
        <f>Table39[[#This Row],[CNA/NA/Med Aide Contract Hours]]/Table39[[#This Row],[Total CNA, NA in Training, Med Aide/Tech Hours]]</f>
        <v>1.7378638463707751E-2</v>
      </c>
      <c r="AG62" s="3">
        <v>185.97688888888888</v>
      </c>
      <c r="AH62" s="3">
        <v>3.4852222222222222</v>
      </c>
      <c r="AI62" s="4">
        <f>Table39[[#This Row],[CNA Hours Contract]]/Table39[[#This Row],[CNA Hours]]</f>
        <v>1.8740082399724699E-2</v>
      </c>
      <c r="AJ62" s="3">
        <v>3.1</v>
      </c>
      <c r="AK62" s="3">
        <v>0</v>
      </c>
      <c r="AL62" s="4">
        <f>Table39[[#This Row],[NA in Training Hours Contract]]/Table39[[#This Row],[NA in Training Hours]]</f>
        <v>0</v>
      </c>
      <c r="AM62" s="3">
        <v>11.469444444444445</v>
      </c>
      <c r="AN62" s="3">
        <v>0</v>
      </c>
      <c r="AO62" s="4">
        <f>Table39[[#This Row],[Med Aide/Tech Hours Contract]]/Table39[[#This Row],[Med Aide/Tech Hours]]</f>
        <v>0</v>
      </c>
      <c r="AP62" s="1" t="s">
        <v>60</v>
      </c>
      <c r="AQ62" s="1">
        <v>10</v>
      </c>
    </row>
    <row r="63" spans="1:43" x14ac:dyDescent="0.2">
      <c r="A63" s="1" t="s">
        <v>128</v>
      </c>
      <c r="B63" s="1" t="s">
        <v>190</v>
      </c>
      <c r="C63" s="1" t="s">
        <v>279</v>
      </c>
      <c r="D63" s="1" t="s">
        <v>334</v>
      </c>
      <c r="E63" s="3">
        <v>49.022222222222226</v>
      </c>
      <c r="F63" s="3">
        <f t="shared" si="0"/>
        <v>207.96999999999997</v>
      </c>
      <c r="G63" s="3">
        <f>SUM(Table39[[#This Row],[RN Hours Contract (W/ Admin, DON)]], Table39[[#This Row],[LPN Contract Hours (w/ Admin)]], Table39[[#This Row],[CNA/NA/Med Aide Contract Hours]])</f>
        <v>12.828333333333333</v>
      </c>
      <c r="H63" s="4">
        <f>Table39[[#This Row],[Total Contract Hours]]/Table39[[#This Row],[Total Hours Nurse Staffing]]</f>
        <v>6.16835761568175E-2</v>
      </c>
      <c r="I63" s="3">
        <f>SUM(Table39[[#This Row],[RN Hours]], Table39[[#This Row],[RN Admin Hours]], Table39[[#This Row],[RN DON Hours]])</f>
        <v>33.719444444444441</v>
      </c>
      <c r="J63" s="3">
        <f t="shared" si="3"/>
        <v>0</v>
      </c>
      <c r="K63" s="4">
        <f>Table39[[#This Row],[RN Hours Contract (W/ Admin, DON)]]/Table39[[#This Row],[RN Hours (w/ Admin, DON)]]</f>
        <v>0</v>
      </c>
      <c r="L63" s="3">
        <v>22.341666666666665</v>
      </c>
      <c r="M63" s="3">
        <v>0</v>
      </c>
      <c r="N63" s="4">
        <f>Table39[[#This Row],[RN Hours Contract]]/Table39[[#This Row],[RN Hours]]</f>
        <v>0</v>
      </c>
      <c r="O63" s="3">
        <v>5.6888888888888891</v>
      </c>
      <c r="P63" s="3">
        <v>0</v>
      </c>
      <c r="Q63" s="4">
        <f>Table39[[#This Row],[RN Admin Hours Contract]]/Table39[[#This Row],[RN Admin Hours]]</f>
        <v>0</v>
      </c>
      <c r="R63" s="3">
        <v>5.6888888888888891</v>
      </c>
      <c r="S63" s="3">
        <v>0</v>
      </c>
      <c r="T63" s="4">
        <f>Table39[[#This Row],[RN DON Hours Contract]]/Table39[[#This Row],[RN DON Hours]]</f>
        <v>0</v>
      </c>
      <c r="U63" s="3">
        <f>SUM(Table39[[#This Row],[LPN Hours]], Table39[[#This Row],[LPN Admin Hours]])</f>
        <v>37.094444444444441</v>
      </c>
      <c r="V63" s="3">
        <f>Table39[[#This Row],[LPN Hours Contract]]+Table39[[#This Row],[LPN Admin Hours Contract]]</f>
        <v>0</v>
      </c>
      <c r="W63" s="4">
        <f t="shared" si="4"/>
        <v>0</v>
      </c>
      <c r="X63" s="3">
        <v>31.405555555555555</v>
      </c>
      <c r="Y63" s="3">
        <v>0</v>
      </c>
      <c r="Z63" s="4">
        <f>Table39[[#This Row],[LPN Hours Contract]]/Table39[[#This Row],[LPN Hours]]</f>
        <v>0</v>
      </c>
      <c r="AA63" s="3">
        <v>5.6888888888888891</v>
      </c>
      <c r="AB63" s="3">
        <v>0</v>
      </c>
      <c r="AC63" s="4">
        <f>Table39[[#This Row],[LPN Admin Hours Contract]]/Table39[[#This Row],[LPN Admin Hours]]</f>
        <v>0</v>
      </c>
      <c r="AD63" s="3">
        <f>SUM(Table39[[#This Row],[CNA Hours]], Table39[[#This Row],[NA in Training Hours]], Table39[[#This Row],[Med Aide/Tech Hours]])</f>
        <v>137.1561111111111</v>
      </c>
      <c r="AE63" s="3">
        <f>SUM(Table39[[#This Row],[CNA Hours Contract]], Table39[[#This Row],[NA in Training Hours Contract]], Table39[[#This Row],[Med Aide/Tech Hours Contract]])</f>
        <v>12.828333333333333</v>
      </c>
      <c r="AF63" s="4">
        <f>Table39[[#This Row],[CNA/NA/Med Aide Contract Hours]]/Table39[[#This Row],[Total CNA, NA in Training, Med Aide/Tech Hours]]</f>
        <v>9.3530891401120378E-2</v>
      </c>
      <c r="AG63" s="3">
        <v>112.99499999999999</v>
      </c>
      <c r="AH63" s="3">
        <v>12.828333333333333</v>
      </c>
      <c r="AI63" s="4">
        <f>Table39[[#This Row],[CNA Hours Contract]]/Table39[[#This Row],[CNA Hours]]</f>
        <v>0.1135300972019411</v>
      </c>
      <c r="AJ63" s="3">
        <v>0</v>
      </c>
      <c r="AK63" s="3">
        <v>0</v>
      </c>
      <c r="AL63" s="4">
        <v>0</v>
      </c>
      <c r="AM63" s="3">
        <v>24.161111111111111</v>
      </c>
      <c r="AN63" s="3">
        <v>0</v>
      </c>
      <c r="AO63" s="4">
        <f>Table39[[#This Row],[Med Aide/Tech Hours Contract]]/Table39[[#This Row],[Med Aide/Tech Hours]]</f>
        <v>0</v>
      </c>
      <c r="AP63" s="1" t="s">
        <v>61</v>
      </c>
      <c r="AQ63" s="1">
        <v>10</v>
      </c>
    </row>
    <row r="64" spans="1:43" x14ac:dyDescent="0.2">
      <c r="A64" s="1" t="s">
        <v>128</v>
      </c>
      <c r="B64" s="1" t="s">
        <v>191</v>
      </c>
      <c r="C64" s="1" t="s">
        <v>297</v>
      </c>
      <c r="D64" s="1" t="s">
        <v>321</v>
      </c>
      <c r="E64" s="3">
        <v>77.855555555555554</v>
      </c>
      <c r="F64" s="3">
        <f t="shared" si="0"/>
        <v>345.62566666666669</v>
      </c>
      <c r="G64" s="3">
        <f>SUM(Table39[[#This Row],[RN Hours Contract (W/ Admin, DON)]], Table39[[#This Row],[LPN Contract Hours (w/ Admin)]], Table39[[#This Row],[CNA/NA/Med Aide Contract Hours]])</f>
        <v>66.039555555555552</v>
      </c>
      <c r="H64" s="4">
        <f>Table39[[#This Row],[Total Contract Hours]]/Table39[[#This Row],[Total Hours Nurse Staffing]]</f>
        <v>0.19107248657908957</v>
      </c>
      <c r="I64" s="3">
        <f>SUM(Table39[[#This Row],[RN Hours]], Table39[[#This Row],[RN Admin Hours]], Table39[[#This Row],[RN DON Hours]])</f>
        <v>33.806888888888885</v>
      </c>
      <c r="J64" s="3">
        <f t="shared" si="3"/>
        <v>1.4180000000000001</v>
      </c>
      <c r="K64" s="4">
        <f>Table39[[#This Row],[RN Hours Contract (W/ Admin, DON)]]/Table39[[#This Row],[RN Hours (w/ Admin, DON)]]</f>
        <v>4.1944113954420867E-2</v>
      </c>
      <c r="L64" s="3">
        <v>22.479111111111109</v>
      </c>
      <c r="M64" s="3">
        <v>1.4180000000000001</v>
      </c>
      <c r="N64" s="4">
        <f>Table39[[#This Row],[RN Hours Contract]]/Table39[[#This Row],[RN Hours]]</f>
        <v>6.3080786112539061E-2</v>
      </c>
      <c r="O64" s="3">
        <v>5.7277777777777779</v>
      </c>
      <c r="P64" s="3">
        <v>0</v>
      </c>
      <c r="Q64" s="4">
        <f>Table39[[#This Row],[RN Admin Hours Contract]]/Table39[[#This Row],[RN Admin Hours]]</f>
        <v>0</v>
      </c>
      <c r="R64" s="3">
        <v>5.6</v>
      </c>
      <c r="S64" s="3">
        <v>0</v>
      </c>
      <c r="T64" s="4">
        <f>Table39[[#This Row],[RN DON Hours Contract]]/Table39[[#This Row],[RN DON Hours]]</f>
        <v>0</v>
      </c>
      <c r="U64" s="3">
        <f>SUM(Table39[[#This Row],[LPN Hours]], Table39[[#This Row],[LPN Admin Hours]])</f>
        <v>106.09111111111112</v>
      </c>
      <c r="V64" s="3">
        <f>Table39[[#This Row],[LPN Hours Contract]]+Table39[[#This Row],[LPN Admin Hours Contract]]</f>
        <v>2.6272222222222221</v>
      </c>
      <c r="W64" s="4">
        <f t="shared" si="4"/>
        <v>2.4763829831800754E-2</v>
      </c>
      <c r="X64" s="3">
        <v>106.09111111111112</v>
      </c>
      <c r="Y64" s="3">
        <v>2.6272222222222221</v>
      </c>
      <c r="Z64" s="4">
        <f>Table39[[#This Row],[LPN Hours Contract]]/Table39[[#This Row],[LPN Hours]]</f>
        <v>2.4763829831800754E-2</v>
      </c>
      <c r="AA64" s="3">
        <v>0</v>
      </c>
      <c r="AB64" s="3">
        <v>0</v>
      </c>
      <c r="AC64" s="4">
        <v>0</v>
      </c>
      <c r="AD64" s="3">
        <f>SUM(Table39[[#This Row],[CNA Hours]], Table39[[#This Row],[NA in Training Hours]], Table39[[#This Row],[Med Aide/Tech Hours]])</f>
        <v>205.72766666666672</v>
      </c>
      <c r="AE64" s="3">
        <f>SUM(Table39[[#This Row],[CNA Hours Contract]], Table39[[#This Row],[NA in Training Hours Contract]], Table39[[#This Row],[Med Aide/Tech Hours Contract]])</f>
        <v>61.99433333333333</v>
      </c>
      <c r="AF64" s="4">
        <f>Table39[[#This Row],[CNA/NA/Med Aide Contract Hours]]/Table39[[#This Row],[Total CNA, NA in Training, Med Aide/Tech Hours]]</f>
        <v>0.3013417414283931</v>
      </c>
      <c r="AG64" s="3">
        <v>192.43044444444448</v>
      </c>
      <c r="AH64" s="3">
        <v>61.99433333333333</v>
      </c>
      <c r="AI64" s="4">
        <f>Table39[[#This Row],[CNA Hours Contract]]/Table39[[#This Row],[CNA Hours]]</f>
        <v>0.32216489190322151</v>
      </c>
      <c r="AJ64" s="3">
        <v>1.9638888888888888</v>
      </c>
      <c r="AK64" s="3">
        <v>0</v>
      </c>
      <c r="AL64" s="4">
        <f>Table39[[#This Row],[NA in Training Hours Contract]]/Table39[[#This Row],[NA in Training Hours]]</f>
        <v>0</v>
      </c>
      <c r="AM64" s="3">
        <v>11.333333333333334</v>
      </c>
      <c r="AN64" s="3">
        <v>0</v>
      </c>
      <c r="AO64" s="4">
        <f>Table39[[#This Row],[Med Aide/Tech Hours Contract]]/Table39[[#This Row],[Med Aide/Tech Hours]]</f>
        <v>0</v>
      </c>
      <c r="AP64" s="1" t="s">
        <v>62</v>
      </c>
      <c r="AQ64" s="1">
        <v>10</v>
      </c>
    </row>
    <row r="65" spans="1:43" x14ac:dyDescent="0.2">
      <c r="A65" s="1" t="s">
        <v>128</v>
      </c>
      <c r="B65" s="1" t="s">
        <v>192</v>
      </c>
      <c r="C65" s="1" t="s">
        <v>258</v>
      </c>
      <c r="D65" s="1" t="s">
        <v>319</v>
      </c>
      <c r="E65" s="3">
        <v>45.31111111111111</v>
      </c>
      <c r="F65" s="3">
        <f t="shared" si="0"/>
        <v>218.0938888888889</v>
      </c>
      <c r="G65" s="3">
        <f>SUM(Table39[[#This Row],[RN Hours Contract (W/ Admin, DON)]], Table39[[#This Row],[LPN Contract Hours (w/ Admin)]], Table39[[#This Row],[CNA/NA/Med Aide Contract Hours]])</f>
        <v>3.5384444444444441</v>
      </c>
      <c r="H65" s="4">
        <f>Table39[[#This Row],[Total Contract Hours]]/Table39[[#This Row],[Total Hours Nurse Staffing]]</f>
        <v>1.6224408957406213E-2</v>
      </c>
      <c r="I65" s="3">
        <f>SUM(Table39[[#This Row],[RN Hours]], Table39[[#This Row],[RN Admin Hours]], Table39[[#This Row],[RN DON Hours]])</f>
        <v>22.848333333333329</v>
      </c>
      <c r="J65" s="3">
        <f t="shared" si="3"/>
        <v>0.58888888888888891</v>
      </c>
      <c r="K65" s="4">
        <f>Table39[[#This Row],[RN Hours Contract (W/ Admin, DON)]]/Table39[[#This Row],[RN Hours (w/ Admin, DON)]]</f>
        <v>2.5773822549663244E-2</v>
      </c>
      <c r="L65" s="3">
        <v>8.6688888888888886</v>
      </c>
      <c r="M65" s="3">
        <v>0.58888888888888891</v>
      </c>
      <c r="N65" s="4">
        <f>Table39[[#This Row],[RN Hours Contract]]/Table39[[#This Row],[RN Hours]]</f>
        <v>6.7931299666752112E-2</v>
      </c>
      <c r="O65" s="3">
        <v>8.8127777777777752</v>
      </c>
      <c r="P65" s="3">
        <v>0</v>
      </c>
      <c r="Q65" s="4">
        <f>Table39[[#This Row],[RN Admin Hours Contract]]/Table39[[#This Row],[RN Admin Hours]]</f>
        <v>0</v>
      </c>
      <c r="R65" s="3">
        <v>5.3666666666666663</v>
      </c>
      <c r="S65" s="3">
        <v>0</v>
      </c>
      <c r="T65" s="4">
        <f>Table39[[#This Row],[RN DON Hours Contract]]/Table39[[#This Row],[RN DON Hours]]</f>
        <v>0</v>
      </c>
      <c r="U65" s="3">
        <f>SUM(Table39[[#This Row],[LPN Hours]], Table39[[#This Row],[LPN Admin Hours]])</f>
        <v>74.323777777777778</v>
      </c>
      <c r="V65" s="3">
        <f>Table39[[#This Row],[LPN Hours Contract]]+Table39[[#This Row],[LPN Admin Hours Contract]]</f>
        <v>0.18333333333333332</v>
      </c>
      <c r="W65" s="4">
        <f t="shared" si="4"/>
        <v>2.4666848055205897E-3</v>
      </c>
      <c r="X65" s="3">
        <v>64.325888888888883</v>
      </c>
      <c r="Y65" s="3">
        <v>0.18333333333333332</v>
      </c>
      <c r="Z65" s="4">
        <f>Table39[[#This Row],[LPN Hours Contract]]/Table39[[#This Row],[LPN Hours]]</f>
        <v>2.8500707335736607E-3</v>
      </c>
      <c r="AA65" s="3">
        <v>9.9978888888888893</v>
      </c>
      <c r="AB65" s="3">
        <v>0</v>
      </c>
      <c r="AC65" s="4">
        <f>Table39[[#This Row],[LPN Admin Hours Contract]]/Table39[[#This Row],[LPN Admin Hours]]</f>
        <v>0</v>
      </c>
      <c r="AD65" s="3">
        <f>SUM(Table39[[#This Row],[CNA Hours]], Table39[[#This Row],[NA in Training Hours]], Table39[[#This Row],[Med Aide/Tech Hours]])</f>
        <v>120.92177777777778</v>
      </c>
      <c r="AE65" s="3">
        <f>SUM(Table39[[#This Row],[CNA Hours Contract]], Table39[[#This Row],[NA in Training Hours Contract]], Table39[[#This Row],[Med Aide/Tech Hours Contract]])</f>
        <v>2.7662222222222219</v>
      </c>
      <c r="AF65" s="4">
        <f>Table39[[#This Row],[CNA/NA/Med Aide Contract Hours]]/Table39[[#This Row],[Total CNA, NA in Training, Med Aide/Tech Hours]]</f>
        <v>2.2876129288355373E-2</v>
      </c>
      <c r="AG65" s="3">
        <v>108.34811111111111</v>
      </c>
      <c r="AH65" s="3">
        <v>2.7662222222222219</v>
      </c>
      <c r="AI65" s="4">
        <f>Table39[[#This Row],[CNA Hours Contract]]/Table39[[#This Row],[CNA Hours]]</f>
        <v>2.5530876300976377E-2</v>
      </c>
      <c r="AJ65" s="3">
        <v>11.657000000000002</v>
      </c>
      <c r="AK65" s="3">
        <v>0</v>
      </c>
      <c r="AL65" s="4">
        <f>Table39[[#This Row],[NA in Training Hours Contract]]/Table39[[#This Row],[NA in Training Hours]]</f>
        <v>0</v>
      </c>
      <c r="AM65" s="3">
        <v>0.91666666666666663</v>
      </c>
      <c r="AN65" s="3">
        <v>0</v>
      </c>
      <c r="AO65" s="4">
        <f>Table39[[#This Row],[Med Aide/Tech Hours Contract]]/Table39[[#This Row],[Med Aide/Tech Hours]]</f>
        <v>0</v>
      </c>
      <c r="AP65" s="1" t="s">
        <v>63</v>
      </c>
      <c r="AQ65" s="1">
        <v>10</v>
      </c>
    </row>
    <row r="66" spans="1:43" x14ac:dyDescent="0.2">
      <c r="A66" s="1" t="s">
        <v>128</v>
      </c>
      <c r="B66" s="1" t="s">
        <v>193</v>
      </c>
      <c r="C66" s="1" t="s">
        <v>299</v>
      </c>
      <c r="D66" s="1" t="s">
        <v>344</v>
      </c>
      <c r="E66" s="3">
        <v>39.955555555555556</v>
      </c>
      <c r="F66" s="3">
        <f t="shared" ref="F66:F129" si="5">SUM(I66,U66,AD66)</f>
        <v>175.11444444444444</v>
      </c>
      <c r="G66" s="3">
        <f>SUM(Table39[[#This Row],[RN Hours Contract (W/ Admin, DON)]], Table39[[#This Row],[LPN Contract Hours (w/ Admin)]], Table39[[#This Row],[CNA/NA/Med Aide Contract Hours]])</f>
        <v>0</v>
      </c>
      <c r="H66" s="4">
        <f>Table39[[#This Row],[Total Contract Hours]]/Table39[[#This Row],[Total Hours Nurse Staffing]]</f>
        <v>0</v>
      </c>
      <c r="I66" s="3">
        <f>SUM(Table39[[#This Row],[RN Hours]], Table39[[#This Row],[RN Admin Hours]], Table39[[#This Row],[RN DON Hours]])</f>
        <v>25.422666666666668</v>
      </c>
      <c r="J66" s="3">
        <f t="shared" si="3"/>
        <v>0</v>
      </c>
      <c r="K66" s="4">
        <f>Table39[[#This Row],[RN Hours Contract (W/ Admin, DON)]]/Table39[[#This Row],[RN Hours (w/ Admin, DON)]]</f>
        <v>0</v>
      </c>
      <c r="L66" s="3">
        <v>13.35611111111111</v>
      </c>
      <c r="M66" s="3">
        <v>0</v>
      </c>
      <c r="N66" s="4">
        <f>Table39[[#This Row],[RN Hours Contract]]/Table39[[#This Row],[RN Hours]]</f>
        <v>0</v>
      </c>
      <c r="O66" s="3">
        <v>7.1610000000000014</v>
      </c>
      <c r="P66" s="3">
        <v>0</v>
      </c>
      <c r="Q66" s="4">
        <f>Table39[[#This Row],[RN Admin Hours Contract]]/Table39[[#This Row],[RN Admin Hours]]</f>
        <v>0</v>
      </c>
      <c r="R66" s="3">
        <v>4.9055555555555559</v>
      </c>
      <c r="S66" s="3">
        <v>0</v>
      </c>
      <c r="T66" s="4">
        <f>Table39[[#This Row],[RN DON Hours Contract]]/Table39[[#This Row],[RN DON Hours]]</f>
        <v>0</v>
      </c>
      <c r="U66" s="3">
        <f>SUM(Table39[[#This Row],[LPN Hours]], Table39[[#This Row],[LPN Admin Hours]])</f>
        <v>47.569222222222223</v>
      </c>
      <c r="V66" s="3">
        <f>Table39[[#This Row],[LPN Hours Contract]]+Table39[[#This Row],[LPN Admin Hours Contract]]</f>
        <v>0</v>
      </c>
      <c r="W66" s="4">
        <f t="shared" si="4"/>
        <v>0</v>
      </c>
      <c r="X66" s="3">
        <v>41.072444444444443</v>
      </c>
      <c r="Y66" s="3">
        <v>0</v>
      </c>
      <c r="Z66" s="4">
        <f>Table39[[#This Row],[LPN Hours Contract]]/Table39[[#This Row],[LPN Hours]]</f>
        <v>0</v>
      </c>
      <c r="AA66" s="3">
        <v>6.4967777777777771</v>
      </c>
      <c r="AB66" s="3">
        <v>0</v>
      </c>
      <c r="AC66" s="4">
        <f>Table39[[#This Row],[LPN Admin Hours Contract]]/Table39[[#This Row],[LPN Admin Hours]]</f>
        <v>0</v>
      </c>
      <c r="AD66" s="3">
        <f>SUM(Table39[[#This Row],[CNA Hours]], Table39[[#This Row],[NA in Training Hours]], Table39[[#This Row],[Med Aide/Tech Hours]])</f>
        <v>102.12255555555555</v>
      </c>
      <c r="AE66" s="3">
        <f>SUM(Table39[[#This Row],[CNA Hours Contract]], Table39[[#This Row],[NA in Training Hours Contract]], Table39[[#This Row],[Med Aide/Tech Hours Contract]])</f>
        <v>0</v>
      </c>
      <c r="AF66" s="4">
        <f>Table39[[#This Row],[CNA/NA/Med Aide Contract Hours]]/Table39[[#This Row],[Total CNA, NA in Training, Med Aide/Tech Hours]]</f>
        <v>0</v>
      </c>
      <c r="AG66" s="3">
        <v>95.648666666666657</v>
      </c>
      <c r="AH66" s="3">
        <v>0</v>
      </c>
      <c r="AI66" s="4">
        <f>Table39[[#This Row],[CNA Hours Contract]]/Table39[[#This Row],[CNA Hours]]</f>
        <v>0</v>
      </c>
      <c r="AJ66" s="3">
        <v>5.8822222222222242</v>
      </c>
      <c r="AK66" s="3">
        <v>0</v>
      </c>
      <c r="AL66" s="4">
        <f>Table39[[#This Row],[NA in Training Hours Contract]]/Table39[[#This Row],[NA in Training Hours]]</f>
        <v>0</v>
      </c>
      <c r="AM66" s="3">
        <v>0.59166666666666667</v>
      </c>
      <c r="AN66" s="3">
        <v>0</v>
      </c>
      <c r="AO66" s="4">
        <f>Table39[[#This Row],[Med Aide/Tech Hours Contract]]/Table39[[#This Row],[Med Aide/Tech Hours]]</f>
        <v>0</v>
      </c>
      <c r="AP66" s="1" t="s">
        <v>64</v>
      </c>
      <c r="AQ66" s="1">
        <v>10</v>
      </c>
    </row>
    <row r="67" spans="1:43" x14ac:dyDescent="0.2">
      <c r="A67" s="1" t="s">
        <v>128</v>
      </c>
      <c r="B67" s="1" t="s">
        <v>194</v>
      </c>
      <c r="C67" s="1" t="s">
        <v>302</v>
      </c>
      <c r="D67" s="1" t="s">
        <v>339</v>
      </c>
      <c r="E67" s="3">
        <v>5.7111111111111112</v>
      </c>
      <c r="F67" s="3">
        <f t="shared" si="5"/>
        <v>56.42988888888889</v>
      </c>
      <c r="G67" s="3">
        <f>SUM(Table39[[#This Row],[RN Hours Contract (W/ Admin, DON)]], Table39[[#This Row],[LPN Contract Hours (w/ Admin)]], Table39[[#This Row],[CNA/NA/Med Aide Contract Hours]])</f>
        <v>0</v>
      </c>
      <c r="H67" s="4">
        <f>Table39[[#This Row],[Total Contract Hours]]/Table39[[#This Row],[Total Hours Nurse Staffing]]</f>
        <v>0</v>
      </c>
      <c r="I67" s="3">
        <f>SUM(Table39[[#This Row],[RN Hours]], Table39[[#This Row],[RN Admin Hours]], Table39[[#This Row],[RN DON Hours]])</f>
        <v>24.115111111111112</v>
      </c>
      <c r="J67" s="3">
        <f t="shared" si="3"/>
        <v>0</v>
      </c>
      <c r="K67" s="4">
        <f>Table39[[#This Row],[RN Hours Contract (W/ Admin, DON)]]/Table39[[#This Row],[RN Hours (w/ Admin, DON)]]</f>
        <v>0</v>
      </c>
      <c r="L67" s="3">
        <v>17.797666666666665</v>
      </c>
      <c r="M67" s="3">
        <v>0</v>
      </c>
      <c r="N67" s="4">
        <f>Table39[[#This Row],[RN Hours Contract]]/Table39[[#This Row],[RN Hours]]</f>
        <v>0</v>
      </c>
      <c r="O67" s="3">
        <v>0.71744444444444433</v>
      </c>
      <c r="P67" s="3">
        <v>0</v>
      </c>
      <c r="Q67" s="4">
        <f>Table39[[#This Row],[RN Admin Hours Contract]]/Table39[[#This Row],[RN Admin Hours]]</f>
        <v>0</v>
      </c>
      <c r="R67" s="3">
        <v>5.6</v>
      </c>
      <c r="S67" s="3">
        <v>0</v>
      </c>
      <c r="T67" s="4">
        <f>Table39[[#This Row],[RN DON Hours Contract]]/Table39[[#This Row],[RN DON Hours]]</f>
        <v>0</v>
      </c>
      <c r="U67" s="3">
        <f>SUM(Table39[[#This Row],[LPN Hours]], Table39[[#This Row],[LPN Admin Hours]])</f>
        <v>8.0341111111111125</v>
      </c>
      <c r="V67" s="3">
        <f>Table39[[#This Row],[LPN Hours Contract]]+Table39[[#This Row],[LPN Admin Hours Contract]]</f>
        <v>0</v>
      </c>
      <c r="W67" s="4">
        <f t="shared" si="4"/>
        <v>0</v>
      </c>
      <c r="X67" s="3">
        <v>8.0341111111111125</v>
      </c>
      <c r="Y67" s="3">
        <v>0</v>
      </c>
      <c r="Z67" s="4">
        <f>Table39[[#This Row],[LPN Hours Contract]]/Table39[[#This Row],[LPN Hours]]</f>
        <v>0</v>
      </c>
      <c r="AA67" s="3">
        <v>0</v>
      </c>
      <c r="AB67" s="3">
        <v>0</v>
      </c>
      <c r="AC67" s="4">
        <v>0</v>
      </c>
      <c r="AD67" s="3">
        <f>SUM(Table39[[#This Row],[CNA Hours]], Table39[[#This Row],[NA in Training Hours]], Table39[[#This Row],[Med Aide/Tech Hours]])</f>
        <v>24.280666666666669</v>
      </c>
      <c r="AE67" s="3">
        <f>SUM(Table39[[#This Row],[CNA Hours Contract]], Table39[[#This Row],[NA in Training Hours Contract]], Table39[[#This Row],[Med Aide/Tech Hours Contract]])</f>
        <v>0</v>
      </c>
      <c r="AF67" s="4">
        <f>Table39[[#This Row],[CNA/NA/Med Aide Contract Hours]]/Table39[[#This Row],[Total CNA, NA in Training, Med Aide/Tech Hours]]</f>
        <v>0</v>
      </c>
      <c r="AG67" s="3">
        <v>24.280666666666669</v>
      </c>
      <c r="AH67" s="3">
        <v>0</v>
      </c>
      <c r="AI67" s="4">
        <f>Table39[[#This Row],[CNA Hours Contract]]/Table39[[#This Row],[CNA Hours]]</f>
        <v>0</v>
      </c>
      <c r="AJ67" s="3">
        <v>0</v>
      </c>
      <c r="AK67" s="3">
        <v>0</v>
      </c>
      <c r="AL67" s="4">
        <v>0</v>
      </c>
      <c r="AM67" s="3">
        <v>0</v>
      </c>
      <c r="AN67" s="3">
        <v>0</v>
      </c>
      <c r="AO67" s="4">
        <v>0</v>
      </c>
      <c r="AP67" s="1" t="s">
        <v>65</v>
      </c>
      <c r="AQ67" s="1">
        <v>10</v>
      </c>
    </row>
    <row r="68" spans="1:43" x14ac:dyDescent="0.2">
      <c r="A68" s="1" t="s">
        <v>128</v>
      </c>
      <c r="B68" s="1" t="s">
        <v>195</v>
      </c>
      <c r="C68" s="1" t="s">
        <v>269</v>
      </c>
      <c r="D68" s="1" t="s">
        <v>343</v>
      </c>
      <c r="E68" s="3">
        <v>33.37777777777778</v>
      </c>
      <c r="F68" s="3">
        <f t="shared" si="5"/>
        <v>163.1708888888889</v>
      </c>
      <c r="G68" s="3">
        <f>SUM(Table39[[#This Row],[RN Hours Contract (W/ Admin, DON)]], Table39[[#This Row],[LPN Contract Hours (w/ Admin)]], Table39[[#This Row],[CNA/NA/Med Aide Contract Hours]])</f>
        <v>0</v>
      </c>
      <c r="H68" s="4">
        <f>Table39[[#This Row],[Total Contract Hours]]/Table39[[#This Row],[Total Hours Nurse Staffing]]</f>
        <v>0</v>
      </c>
      <c r="I68" s="3">
        <f>SUM(Table39[[#This Row],[RN Hours]], Table39[[#This Row],[RN Admin Hours]], Table39[[#This Row],[RN DON Hours]])</f>
        <v>44.873111111111108</v>
      </c>
      <c r="J68" s="3">
        <f t="shared" si="3"/>
        <v>0</v>
      </c>
      <c r="K68" s="4">
        <f>Table39[[#This Row],[RN Hours Contract (W/ Admin, DON)]]/Table39[[#This Row],[RN Hours (w/ Admin, DON)]]</f>
        <v>0</v>
      </c>
      <c r="L68" s="3">
        <v>24.085111111111111</v>
      </c>
      <c r="M68" s="3">
        <v>0</v>
      </c>
      <c r="N68" s="4">
        <f>Table39[[#This Row],[RN Hours Contract]]/Table39[[#This Row],[RN Hours]]</f>
        <v>0</v>
      </c>
      <c r="O68" s="3">
        <v>15.871333333333332</v>
      </c>
      <c r="P68" s="3">
        <v>0</v>
      </c>
      <c r="Q68" s="4">
        <f>Table39[[#This Row],[RN Admin Hours Contract]]/Table39[[#This Row],[RN Admin Hours]]</f>
        <v>0</v>
      </c>
      <c r="R68" s="3">
        <v>4.916666666666667</v>
      </c>
      <c r="S68" s="3">
        <v>0</v>
      </c>
      <c r="T68" s="4">
        <f>Table39[[#This Row],[RN DON Hours Contract]]/Table39[[#This Row],[RN DON Hours]]</f>
        <v>0</v>
      </c>
      <c r="U68" s="3">
        <f>SUM(Table39[[#This Row],[LPN Hours]], Table39[[#This Row],[LPN Admin Hours]])</f>
        <v>12.406777777777776</v>
      </c>
      <c r="V68" s="3">
        <f>Table39[[#This Row],[LPN Hours Contract]]+Table39[[#This Row],[LPN Admin Hours Contract]]</f>
        <v>0</v>
      </c>
      <c r="W68" s="4">
        <f t="shared" si="4"/>
        <v>0</v>
      </c>
      <c r="X68" s="3">
        <v>12.406777777777776</v>
      </c>
      <c r="Y68" s="3">
        <v>0</v>
      </c>
      <c r="Z68" s="4">
        <f>Table39[[#This Row],[LPN Hours Contract]]/Table39[[#This Row],[LPN Hours]]</f>
        <v>0</v>
      </c>
      <c r="AA68" s="3">
        <v>0</v>
      </c>
      <c r="AB68" s="3">
        <v>0</v>
      </c>
      <c r="AC68" s="4">
        <v>0</v>
      </c>
      <c r="AD68" s="3">
        <f>SUM(Table39[[#This Row],[CNA Hours]], Table39[[#This Row],[NA in Training Hours]], Table39[[#This Row],[Med Aide/Tech Hours]])</f>
        <v>105.89100000000001</v>
      </c>
      <c r="AE68" s="3">
        <f>SUM(Table39[[#This Row],[CNA Hours Contract]], Table39[[#This Row],[NA in Training Hours Contract]], Table39[[#This Row],[Med Aide/Tech Hours Contract]])</f>
        <v>0</v>
      </c>
      <c r="AF68" s="4">
        <f>Table39[[#This Row],[CNA/NA/Med Aide Contract Hours]]/Table39[[#This Row],[Total CNA, NA in Training, Med Aide/Tech Hours]]</f>
        <v>0</v>
      </c>
      <c r="AG68" s="3">
        <v>98.326999999999998</v>
      </c>
      <c r="AH68" s="3">
        <v>0</v>
      </c>
      <c r="AI68" s="4">
        <f>Table39[[#This Row],[CNA Hours Contract]]/Table39[[#This Row],[CNA Hours]]</f>
        <v>0</v>
      </c>
      <c r="AJ68" s="3">
        <v>0.69611111111111112</v>
      </c>
      <c r="AK68" s="3">
        <v>0</v>
      </c>
      <c r="AL68" s="4">
        <f>Table39[[#This Row],[NA in Training Hours Contract]]/Table39[[#This Row],[NA in Training Hours]]</f>
        <v>0</v>
      </c>
      <c r="AM68" s="3">
        <v>6.8678888888888956</v>
      </c>
      <c r="AN68" s="3">
        <v>0</v>
      </c>
      <c r="AO68" s="4">
        <f>Table39[[#This Row],[Med Aide/Tech Hours Contract]]/Table39[[#This Row],[Med Aide/Tech Hours]]</f>
        <v>0</v>
      </c>
      <c r="AP68" s="1" t="s">
        <v>66</v>
      </c>
      <c r="AQ68" s="1">
        <v>10</v>
      </c>
    </row>
    <row r="69" spans="1:43" x14ac:dyDescent="0.2">
      <c r="A69" s="1" t="s">
        <v>128</v>
      </c>
      <c r="B69" s="1" t="s">
        <v>196</v>
      </c>
      <c r="C69" s="1" t="s">
        <v>277</v>
      </c>
      <c r="D69" s="1" t="s">
        <v>339</v>
      </c>
      <c r="E69" s="3">
        <v>45.411111111111111</v>
      </c>
      <c r="F69" s="3">
        <f t="shared" si="5"/>
        <v>198.58055555555558</v>
      </c>
      <c r="G69" s="3">
        <f>SUM(Table39[[#This Row],[RN Hours Contract (W/ Admin, DON)]], Table39[[#This Row],[LPN Contract Hours (w/ Admin)]], Table39[[#This Row],[CNA/NA/Med Aide Contract Hours]])</f>
        <v>3.7805555555555554</v>
      </c>
      <c r="H69" s="4">
        <f>Table39[[#This Row],[Total Contract Hours]]/Table39[[#This Row],[Total Hours Nurse Staffing]]</f>
        <v>1.9037893941725299E-2</v>
      </c>
      <c r="I69" s="3">
        <f>SUM(Table39[[#This Row],[RN Hours]], Table39[[#This Row],[RN Admin Hours]], Table39[[#This Row],[RN DON Hours]])</f>
        <v>41.858333333333334</v>
      </c>
      <c r="J69" s="3">
        <f t="shared" si="3"/>
        <v>0</v>
      </c>
      <c r="K69" s="4">
        <f>Table39[[#This Row],[RN Hours Contract (W/ Admin, DON)]]/Table39[[#This Row],[RN Hours (w/ Admin, DON)]]</f>
        <v>0</v>
      </c>
      <c r="L69" s="3">
        <v>36.524999999999999</v>
      </c>
      <c r="M69" s="3">
        <v>0</v>
      </c>
      <c r="N69" s="4">
        <f>Table39[[#This Row],[RN Hours Contract]]/Table39[[#This Row],[RN Hours]]</f>
        <v>0</v>
      </c>
      <c r="O69" s="3">
        <v>0</v>
      </c>
      <c r="P69" s="3">
        <v>0</v>
      </c>
      <c r="Q69" s="4">
        <v>0</v>
      </c>
      <c r="R69" s="3">
        <v>5.333333333333333</v>
      </c>
      <c r="S69" s="3">
        <v>0</v>
      </c>
      <c r="T69" s="4">
        <f>Table39[[#This Row],[RN DON Hours Contract]]/Table39[[#This Row],[RN DON Hours]]</f>
        <v>0</v>
      </c>
      <c r="U69" s="3">
        <f>SUM(Table39[[#This Row],[LPN Hours]], Table39[[#This Row],[LPN Admin Hours]])</f>
        <v>22.672222222222221</v>
      </c>
      <c r="V69" s="3">
        <f>Table39[[#This Row],[LPN Hours Contract]]+Table39[[#This Row],[LPN Admin Hours Contract]]</f>
        <v>0</v>
      </c>
      <c r="W69" s="4">
        <f t="shared" si="4"/>
        <v>0</v>
      </c>
      <c r="X69" s="3">
        <v>22.672222222222221</v>
      </c>
      <c r="Y69" s="3">
        <v>0</v>
      </c>
      <c r="Z69" s="4">
        <f>Table39[[#This Row],[LPN Hours Contract]]/Table39[[#This Row],[LPN Hours]]</f>
        <v>0</v>
      </c>
      <c r="AA69" s="3">
        <v>0</v>
      </c>
      <c r="AB69" s="3">
        <v>0</v>
      </c>
      <c r="AC69" s="4">
        <v>0</v>
      </c>
      <c r="AD69" s="3">
        <f>SUM(Table39[[#This Row],[CNA Hours]], Table39[[#This Row],[NA in Training Hours]], Table39[[#This Row],[Med Aide/Tech Hours]])</f>
        <v>134.05000000000001</v>
      </c>
      <c r="AE69" s="3">
        <f>SUM(Table39[[#This Row],[CNA Hours Contract]], Table39[[#This Row],[NA in Training Hours Contract]], Table39[[#This Row],[Med Aide/Tech Hours Contract]])</f>
        <v>3.7805555555555554</v>
      </c>
      <c r="AF69" s="4">
        <f>Table39[[#This Row],[CNA/NA/Med Aide Contract Hours]]/Table39[[#This Row],[Total CNA, NA in Training, Med Aide/Tech Hours]]</f>
        <v>2.82025778109329E-2</v>
      </c>
      <c r="AG69" s="3">
        <v>111.69722222222222</v>
      </c>
      <c r="AH69" s="3">
        <v>3.7805555555555554</v>
      </c>
      <c r="AI69" s="4">
        <f>Table39[[#This Row],[CNA Hours Contract]]/Table39[[#This Row],[CNA Hours]]</f>
        <v>3.3846459923901416E-2</v>
      </c>
      <c r="AJ69" s="3">
        <v>4.4083333333333332</v>
      </c>
      <c r="AK69" s="3">
        <v>0</v>
      </c>
      <c r="AL69" s="4">
        <f>Table39[[#This Row],[NA in Training Hours Contract]]/Table39[[#This Row],[NA in Training Hours]]</f>
        <v>0</v>
      </c>
      <c r="AM69" s="3">
        <v>17.944444444444443</v>
      </c>
      <c r="AN69" s="3">
        <v>0</v>
      </c>
      <c r="AO69" s="4">
        <f>Table39[[#This Row],[Med Aide/Tech Hours Contract]]/Table39[[#This Row],[Med Aide/Tech Hours]]</f>
        <v>0</v>
      </c>
      <c r="AP69" s="1" t="s">
        <v>67</v>
      </c>
      <c r="AQ69" s="1">
        <v>10</v>
      </c>
    </row>
    <row r="70" spans="1:43" x14ac:dyDescent="0.2">
      <c r="A70" s="1" t="s">
        <v>128</v>
      </c>
      <c r="B70" s="1" t="s">
        <v>197</v>
      </c>
      <c r="C70" s="1" t="s">
        <v>292</v>
      </c>
      <c r="D70" s="1" t="s">
        <v>321</v>
      </c>
      <c r="E70" s="3">
        <v>43.077777777777776</v>
      </c>
      <c r="F70" s="3">
        <f t="shared" si="5"/>
        <v>218.8</v>
      </c>
      <c r="G70" s="3">
        <f>SUM(Table39[[#This Row],[RN Hours Contract (W/ Admin, DON)]], Table39[[#This Row],[LPN Contract Hours (w/ Admin)]], Table39[[#This Row],[CNA/NA/Med Aide Contract Hours]])</f>
        <v>10.283333333333333</v>
      </c>
      <c r="H70" s="4">
        <f>Table39[[#This Row],[Total Contract Hours]]/Table39[[#This Row],[Total Hours Nurse Staffing]]</f>
        <v>4.6998781230956729E-2</v>
      </c>
      <c r="I70" s="3">
        <f>SUM(Table39[[#This Row],[RN Hours]], Table39[[#This Row],[RN Admin Hours]], Table39[[#This Row],[RN DON Hours]])</f>
        <v>52.62222222222222</v>
      </c>
      <c r="J70" s="3">
        <f t="shared" si="3"/>
        <v>0.70277777777777772</v>
      </c>
      <c r="K70" s="4">
        <f>Table39[[#This Row],[RN Hours Contract (W/ Admin, DON)]]/Table39[[#This Row],[RN Hours (w/ Admin, DON)]]</f>
        <v>1.3355152027027027E-2</v>
      </c>
      <c r="L70" s="3">
        <v>33.37222222222222</v>
      </c>
      <c r="M70" s="3">
        <v>0.70277777777777772</v>
      </c>
      <c r="N70" s="4">
        <f>Table39[[#This Row],[RN Hours Contract]]/Table39[[#This Row],[RN Hours]]</f>
        <v>2.105876477442983E-2</v>
      </c>
      <c r="O70" s="3">
        <v>14.361111111111111</v>
      </c>
      <c r="P70" s="3">
        <v>0</v>
      </c>
      <c r="Q70" s="4">
        <f>Table39[[#This Row],[RN Admin Hours Contract]]/Table39[[#This Row],[RN Admin Hours]]</f>
        <v>0</v>
      </c>
      <c r="R70" s="3">
        <v>4.8888888888888893</v>
      </c>
      <c r="S70" s="3">
        <v>0</v>
      </c>
      <c r="T70" s="4">
        <f>Table39[[#This Row],[RN DON Hours Contract]]/Table39[[#This Row],[RN DON Hours]]</f>
        <v>0</v>
      </c>
      <c r="U70" s="3">
        <f>SUM(Table39[[#This Row],[LPN Hours]], Table39[[#This Row],[LPN Admin Hours]])</f>
        <v>42.197222222222223</v>
      </c>
      <c r="V70" s="3">
        <f>Table39[[#This Row],[LPN Hours Contract]]+Table39[[#This Row],[LPN Admin Hours Contract]]</f>
        <v>3.0944444444444446</v>
      </c>
      <c r="W70" s="4">
        <f t="shared" si="4"/>
        <v>7.3332894476992955E-2</v>
      </c>
      <c r="X70" s="3">
        <v>42.197222222222223</v>
      </c>
      <c r="Y70" s="3">
        <v>3.0944444444444446</v>
      </c>
      <c r="Z70" s="4">
        <f>Table39[[#This Row],[LPN Hours Contract]]/Table39[[#This Row],[LPN Hours]]</f>
        <v>7.3332894476992955E-2</v>
      </c>
      <c r="AA70" s="3">
        <v>0</v>
      </c>
      <c r="AB70" s="3">
        <v>0</v>
      </c>
      <c r="AC70" s="4">
        <v>0</v>
      </c>
      <c r="AD70" s="3">
        <f>SUM(Table39[[#This Row],[CNA Hours]], Table39[[#This Row],[NA in Training Hours]], Table39[[#This Row],[Med Aide/Tech Hours]])</f>
        <v>123.98055555555555</v>
      </c>
      <c r="AE70" s="3">
        <f>SUM(Table39[[#This Row],[CNA Hours Contract]], Table39[[#This Row],[NA in Training Hours Contract]], Table39[[#This Row],[Med Aide/Tech Hours Contract]])</f>
        <v>6.4861111111111107</v>
      </c>
      <c r="AF70" s="4">
        <f>Table39[[#This Row],[CNA/NA/Med Aide Contract Hours]]/Table39[[#This Row],[Total CNA, NA in Training, Med Aide/Tech Hours]]</f>
        <v>5.2315551273721235E-2</v>
      </c>
      <c r="AG70" s="3">
        <v>102.31944444444444</v>
      </c>
      <c r="AH70" s="3">
        <v>5.5777777777777775</v>
      </c>
      <c r="AI70" s="4">
        <f>Table39[[#This Row],[CNA Hours Contract]]/Table39[[#This Row],[CNA Hours]]</f>
        <v>5.4513370435726891E-2</v>
      </c>
      <c r="AJ70" s="3">
        <v>15.397222222222222</v>
      </c>
      <c r="AK70" s="3">
        <v>0</v>
      </c>
      <c r="AL70" s="4">
        <f>Table39[[#This Row],[NA in Training Hours Contract]]/Table39[[#This Row],[NA in Training Hours]]</f>
        <v>0</v>
      </c>
      <c r="AM70" s="3">
        <v>6.2638888888888893</v>
      </c>
      <c r="AN70" s="3">
        <v>0.90833333333333333</v>
      </c>
      <c r="AO70" s="4">
        <f>Table39[[#This Row],[Med Aide/Tech Hours Contract]]/Table39[[#This Row],[Med Aide/Tech Hours]]</f>
        <v>0.14501108647450109</v>
      </c>
      <c r="AP70" s="1" t="s">
        <v>68</v>
      </c>
      <c r="AQ70" s="1">
        <v>10</v>
      </c>
    </row>
    <row r="71" spans="1:43" x14ac:dyDescent="0.2">
      <c r="A71" s="1" t="s">
        <v>128</v>
      </c>
      <c r="B71" s="1" t="s">
        <v>198</v>
      </c>
      <c r="C71" s="1" t="s">
        <v>265</v>
      </c>
      <c r="D71" s="1" t="s">
        <v>331</v>
      </c>
      <c r="E71" s="3">
        <v>65.833333333333329</v>
      </c>
      <c r="F71" s="3">
        <f t="shared" si="5"/>
        <v>411.88766666666675</v>
      </c>
      <c r="G71" s="3">
        <f>SUM(Table39[[#This Row],[RN Hours Contract (W/ Admin, DON)]], Table39[[#This Row],[LPN Contract Hours (w/ Admin)]], Table39[[#This Row],[CNA/NA/Med Aide Contract Hours]])</f>
        <v>6.9333333333333336</v>
      </c>
      <c r="H71" s="4">
        <f>Table39[[#This Row],[Total Contract Hours]]/Table39[[#This Row],[Total Hours Nurse Staffing]]</f>
        <v>1.6833068563192388E-2</v>
      </c>
      <c r="I71" s="3">
        <f>SUM(Table39[[#This Row],[RN Hours]], Table39[[#This Row],[RN Admin Hours]], Table39[[#This Row],[RN DON Hours]])</f>
        <v>44.737111111111112</v>
      </c>
      <c r="J71" s="3">
        <f t="shared" si="3"/>
        <v>0.26666666666666666</v>
      </c>
      <c r="K71" s="4">
        <f>Table39[[#This Row],[RN Hours Contract (W/ Admin, DON)]]/Table39[[#This Row],[RN Hours (w/ Admin, DON)]]</f>
        <v>5.9607484713163818E-3</v>
      </c>
      <c r="L71" s="3">
        <v>18.381555555555554</v>
      </c>
      <c r="M71" s="3">
        <v>0.26666666666666666</v>
      </c>
      <c r="N71" s="4">
        <f>Table39[[#This Row],[RN Hours Contract]]/Table39[[#This Row],[RN Hours]]</f>
        <v>1.4507295960927017E-2</v>
      </c>
      <c r="O71" s="3">
        <v>20.666666666666668</v>
      </c>
      <c r="P71" s="3">
        <v>0</v>
      </c>
      <c r="Q71" s="4">
        <f>Table39[[#This Row],[RN Admin Hours Contract]]/Table39[[#This Row],[RN Admin Hours]]</f>
        <v>0</v>
      </c>
      <c r="R71" s="3">
        <v>5.6888888888888891</v>
      </c>
      <c r="S71" s="3">
        <v>0</v>
      </c>
      <c r="T71" s="4">
        <f>Table39[[#This Row],[RN DON Hours Contract]]/Table39[[#This Row],[RN DON Hours]]</f>
        <v>0</v>
      </c>
      <c r="U71" s="3">
        <f>SUM(Table39[[#This Row],[LPN Hours]], Table39[[#This Row],[LPN Admin Hours]])</f>
        <v>73.683111111111117</v>
      </c>
      <c r="V71" s="3">
        <f>Table39[[#This Row],[LPN Hours Contract]]+Table39[[#This Row],[LPN Admin Hours Contract]]</f>
        <v>2.6666666666666665</v>
      </c>
      <c r="W71" s="4">
        <f t="shared" si="4"/>
        <v>3.6191016183416067E-2</v>
      </c>
      <c r="X71" s="3">
        <v>65.919777777777782</v>
      </c>
      <c r="Y71" s="3">
        <v>2.6666666666666665</v>
      </c>
      <c r="Z71" s="4">
        <f>Table39[[#This Row],[LPN Hours Contract]]/Table39[[#This Row],[LPN Hours]]</f>
        <v>4.0453210805052604E-2</v>
      </c>
      <c r="AA71" s="3">
        <v>7.7633333333333336</v>
      </c>
      <c r="AB71" s="3">
        <v>0</v>
      </c>
      <c r="AC71" s="4">
        <f>Table39[[#This Row],[LPN Admin Hours Contract]]/Table39[[#This Row],[LPN Admin Hours]]</f>
        <v>0</v>
      </c>
      <c r="AD71" s="3">
        <f>SUM(Table39[[#This Row],[CNA Hours]], Table39[[#This Row],[NA in Training Hours]], Table39[[#This Row],[Med Aide/Tech Hours]])</f>
        <v>293.46744444444448</v>
      </c>
      <c r="AE71" s="3">
        <f>SUM(Table39[[#This Row],[CNA Hours Contract]], Table39[[#This Row],[NA in Training Hours Contract]], Table39[[#This Row],[Med Aide/Tech Hours Contract]])</f>
        <v>4</v>
      </c>
      <c r="AF71" s="4">
        <f>Table39[[#This Row],[CNA/NA/Med Aide Contract Hours]]/Table39[[#This Row],[Total CNA, NA in Training, Med Aide/Tech Hours]]</f>
        <v>1.3630131981325204E-2</v>
      </c>
      <c r="AG71" s="3">
        <v>256.96100000000001</v>
      </c>
      <c r="AH71" s="3">
        <v>4</v>
      </c>
      <c r="AI71" s="4">
        <f>Table39[[#This Row],[CNA Hours Contract]]/Table39[[#This Row],[CNA Hours]]</f>
        <v>1.5566564575947323E-2</v>
      </c>
      <c r="AJ71" s="3">
        <v>0</v>
      </c>
      <c r="AK71" s="3">
        <v>0</v>
      </c>
      <c r="AL71" s="4">
        <v>0</v>
      </c>
      <c r="AM71" s="3">
        <v>36.506444444444448</v>
      </c>
      <c r="AN71" s="3">
        <v>0</v>
      </c>
      <c r="AO71" s="4">
        <f>Table39[[#This Row],[Med Aide/Tech Hours Contract]]/Table39[[#This Row],[Med Aide/Tech Hours]]</f>
        <v>0</v>
      </c>
      <c r="AP71" s="1" t="s">
        <v>69</v>
      </c>
      <c r="AQ71" s="1">
        <v>10</v>
      </c>
    </row>
    <row r="72" spans="1:43" x14ac:dyDescent="0.2">
      <c r="A72" s="1" t="s">
        <v>128</v>
      </c>
      <c r="B72" s="1" t="s">
        <v>199</v>
      </c>
      <c r="C72" s="1" t="s">
        <v>264</v>
      </c>
      <c r="D72" s="1" t="s">
        <v>328</v>
      </c>
      <c r="E72" s="3">
        <v>79.733333333333334</v>
      </c>
      <c r="F72" s="3">
        <f t="shared" si="5"/>
        <v>396.22477777777777</v>
      </c>
      <c r="G72" s="3">
        <f>SUM(Table39[[#This Row],[RN Hours Contract (W/ Admin, DON)]], Table39[[#This Row],[LPN Contract Hours (w/ Admin)]], Table39[[#This Row],[CNA/NA/Med Aide Contract Hours]])</f>
        <v>0</v>
      </c>
      <c r="H72" s="4">
        <f>Table39[[#This Row],[Total Contract Hours]]/Table39[[#This Row],[Total Hours Nurse Staffing]]</f>
        <v>0</v>
      </c>
      <c r="I72" s="3">
        <f>SUM(Table39[[#This Row],[RN Hours]], Table39[[#This Row],[RN Admin Hours]], Table39[[#This Row],[RN DON Hours]])</f>
        <v>59.233222222222217</v>
      </c>
      <c r="J72" s="3">
        <f t="shared" si="3"/>
        <v>0</v>
      </c>
      <c r="K72" s="4">
        <f>Table39[[#This Row],[RN Hours Contract (W/ Admin, DON)]]/Table39[[#This Row],[RN Hours (w/ Admin, DON)]]</f>
        <v>0</v>
      </c>
      <c r="L72" s="3">
        <v>22.877666666666663</v>
      </c>
      <c r="M72" s="3">
        <v>0</v>
      </c>
      <c r="N72" s="4">
        <f>Table39[[#This Row],[RN Hours Contract]]/Table39[[#This Row],[RN Hours]]</f>
        <v>0</v>
      </c>
      <c r="O72" s="3">
        <v>30.666666666666668</v>
      </c>
      <c r="P72" s="3">
        <v>0</v>
      </c>
      <c r="Q72" s="4">
        <f>Table39[[#This Row],[RN Admin Hours Contract]]/Table39[[#This Row],[RN Admin Hours]]</f>
        <v>0</v>
      </c>
      <c r="R72" s="3">
        <v>5.6888888888888891</v>
      </c>
      <c r="S72" s="3">
        <v>0</v>
      </c>
      <c r="T72" s="4">
        <f>Table39[[#This Row],[RN DON Hours Contract]]/Table39[[#This Row],[RN DON Hours]]</f>
        <v>0</v>
      </c>
      <c r="U72" s="3">
        <f>SUM(Table39[[#This Row],[LPN Hours]], Table39[[#This Row],[LPN Admin Hours]])</f>
        <v>88.534999999999997</v>
      </c>
      <c r="V72" s="3">
        <f>Table39[[#This Row],[LPN Hours Contract]]+Table39[[#This Row],[LPN Admin Hours Contract]]</f>
        <v>0</v>
      </c>
      <c r="W72" s="4">
        <f t="shared" si="4"/>
        <v>0</v>
      </c>
      <c r="X72" s="3">
        <v>88.534999999999997</v>
      </c>
      <c r="Y72" s="3">
        <v>0</v>
      </c>
      <c r="Z72" s="4">
        <f>Table39[[#This Row],[LPN Hours Contract]]/Table39[[#This Row],[LPN Hours]]</f>
        <v>0</v>
      </c>
      <c r="AA72" s="3">
        <v>0</v>
      </c>
      <c r="AB72" s="3">
        <v>0</v>
      </c>
      <c r="AC72" s="4">
        <v>0</v>
      </c>
      <c r="AD72" s="3">
        <f>SUM(Table39[[#This Row],[CNA Hours]], Table39[[#This Row],[NA in Training Hours]], Table39[[#This Row],[Med Aide/Tech Hours]])</f>
        <v>248.45655555555555</v>
      </c>
      <c r="AE72" s="3">
        <f>SUM(Table39[[#This Row],[CNA Hours Contract]], Table39[[#This Row],[NA in Training Hours Contract]], Table39[[#This Row],[Med Aide/Tech Hours Contract]])</f>
        <v>0</v>
      </c>
      <c r="AF72" s="4">
        <f>Table39[[#This Row],[CNA/NA/Med Aide Contract Hours]]/Table39[[#This Row],[Total CNA, NA in Training, Med Aide/Tech Hours]]</f>
        <v>0</v>
      </c>
      <c r="AG72" s="3">
        <v>248.45655555555555</v>
      </c>
      <c r="AH72" s="3">
        <v>0</v>
      </c>
      <c r="AI72" s="4">
        <f>Table39[[#This Row],[CNA Hours Contract]]/Table39[[#This Row],[CNA Hours]]</f>
        <v>0</v>
      </c>
      <c r="AJ72" s="3">
        <v>0</v>
      </c>
      <c r="AK72" s="3">
        <v>0</v>
      </c>
      <c r="AL72" s="4">
        <v>0</v>
      </c>
      <c r="AM72" s="3">
        <v>0</v>
      </c>
      <c r="AN72" s="3">
        <v>0</v>
      </c>
      <c r="AO72" s="4">
        <v>0</v>
      </c>
      <c r="AP72" s="1" t="s">
        <v>70</v>
      </c>
      <c r="AQ72" s="1">
        <v>10</v>
      </c>
    </row>
    <row r="73" spans="1:43" x14ac:dyDescent="0.2">
      <c r="A73" s="1" t="s">
        <v>128</v>
      </c>
      <c r="B73" s="1" t="s">
        <v>200</v>
      </c>
      <c r="C73" s="1" t="s">
        <v>263</v>
      </c>
      <c r="D73" s="1" t="s">
        <v>334</v>
      </c>
      <c r="E73" s="3">
        <v>56.488888888888887</v>
      </c>
      <c r="F73" s="3">
        <f t="shared" si="5"/>
        <v>285.51766666666663</v>
      </c>
      <c r="G73" s="3">
        <f>SUM(Table39[[#This Row],[RN Hours Contract (W/ Admin, DON)]], Table39[[#This Row],[LPN Contract Hours (w/ Admin)]], Table39[[#This Row],[CNA/NA/Med Aide Contract Hours]])</f>
        <v>33.983111111111114</v>
      </c>
      <c r="H73" s="4">
        <f>Table39[[#This Row],[Total Contract Hours]]/Table39[[#This Row],[Total Hours Nurse Staffing]]</f>
        <v>0.1190227964099517</v>
      </c>
      <c r="I73" s="3">
        <f>SUM(Table39[[#This Row],[RN Hours]], Table39[[#This Row],[RN Admin Hours]], Table39[[#This Row],[RN DON Hours]])</f>
        <v>75.626555555555569</v>
      </c>
      <c r="J73" s="3">
        <f t="shared" si="3"/>
        <v>6.078666666666666</v>
      </c>
      <c r="K73" s="4">
        <f>Table39[[#This Row],[RN Hours Contract (W/ Admin, DON)]]/Table39[[#This Row],[RN Hours (w/ Admin, DON)]]</f>
        <v>8.0377410051436934E-2</v>
      </c>
      <c r="L73" s="3">
        <v>49.587666666666671</v>
      </c>
      <c r="M73" s="3">
        <v>6.078666666666666</v>
      </c>
      <c r="N73" s="4">
        <f>Table39[[#This Row],[RN Hours Contract]]/Table39[[#This Row],[RN Hours]]</f>
        <v>0.12258424473827495</v>
      </c>
      <c r="O73" s="3">
        <v>19.75</v>
      </c>
      <c r="P73" s="3">
        <v>0</v>
      </c>
      <c r="Q73" s="4">
        <f>Table39[[#This Row],[RN Admin Hours Contract]]/Table39[[#This Row],[RN Admin Hours]]</f>
        <v>0</v>
      </c>
      <c r="R73" s="3">
        <v>6.2888888888888888</v>
      </c>
      <c r="S73" s="3">
        <v>0</v>
      </c>
      <c r="T73" s="4">
        <f>Table39[[#This Row],[RN DON Hours Contract]]/Table39[[#This Row],[RN DON Hours]]</f>
        <v>0</v>
      </c>
      <c r="U73" s="3">
        <f>SUM(Table39[[#This Row],[LPN Hours]], Table39[[#This Row],[LPN Admin Hours]])</f>
        <v>50.187555555555555</v>
      </c>
      <c r="V73" s="3">
        <f>Table39[[#This Row],[LPN Hours Contract]]+Table39[[#This Row],[LPN Admin Hours Contract]]</f>
        <v>12.844444444444445</v>
      </c>
      <c r="W73" s="4">
        <f t="shared" si="4"/>
        <v>0.2559288712562654</v>
      </c>
      <c r="X73" s="3">
        <v>50.187555555555555</v>
      </c>
      <c r="Y73" s="3">
        <v>12.844444444444445</v>
      </c>
      <c r="Z73" s="4">
        <f>Table39[[#This Row],[LPN Hours Contract]]/Table39[[#This Row],[LPN Hours]]</f>
        <v>0.2559288712562654</v>
      </c>
      <c r="AA73" s="3">
        <v>0</v>
      </c>
      <c r="AB73" s="3">
        <v>0</v>
      </c>
      <c r="AC73" s="4">
        <v>0</v>
      </c>
      <c r="AD73" s="3">
        <f>SUM(Table39[[#This Row],[CNA Hours]], Table39[[#This Row],[NA in Training Hours]], Table39[[#This Row],[Med Aide/Tech Hours]])</f>
        <v>159.70355555555554</v>
      </c>
      <c r="AE73" s="3">
        <f>SUM(Table39[[#This Row],[CNA Hours Contract]], Table39[[#This Row],[NA in Training Hours Contract]], Table39[[#This Row],[Med Aide/Tech Hours Contract]])</f>
        <v>15.06</v>
      </c>
      <c r="AF73" s="4">
        <f>Table39[[#This Row],[CNA/NA/Med Aide Contract Hours]]/Table39[[#This Row],[Total CNA, NA in Training, Med Aide/Tech Hours]]</f>
        <v>9.429971641903194E-2</v>
      </c>
      <c r="AG73" s="3">
        <v>130.36288888888888</v>
      </c>
      <c r="AH73" s="3">
        <v>15.06</v>
      </c>
      <c r="AI73" s="4">
        <f>Table39[[#This Row],[CNA Hours Contract]]/Table39[[#This Row],[CNA Hours]]</f>
        <v>0.11552367493816408</v>
      </c>
      <c r="AJ73" s="3">
        <v>24.78233333333333</v>
      </c>
      <c r="AK73" s="3">
        <v>0</v>
      </c>
      <c r="AL73" s="4">
        <f>Table39[[#This Row],[NA in Training Hours Contract]]/Table39[[#This Row],[NA in Training Hours]]</f>
        <v>0</v>
      </c>
      <c r="AM73" s="3">
        <v>4.5583333333333336</v>
      </c>
      <c r="AN73" s="3">
        <v>0</v>
      </c>
      <c r="AO73" s="4">
        <f>Table39[[#This Row],[Med Aide/Tech Hours Contract]]/Table39[[#This Row],[Med Aide/Tech Hours]]</f>
        <v>0</v>
      </c>
      <c r="AP73" s="1" t="s">
        <v>71</v>
      </c>
      <c r="AQ73" s="1">
        <v>10</v>
      </c>
    </row>
    <row r="74" spans="1:43" x14ac:dyDescent="0.2">
      <c r="A74" s="1" t="s">
        <v>128</v>
      </c>
      <c r="B74" s="1" t="s">
        <v>201</v>
      </c>
      <c r="C74" s="1" t="s">
        <v>303</v>
      </c>
      <c r="D74" s="1" t="s">
        <v>325</v>
      </c>
      <c r="E74" s="3">
        <v>25.677777777777777</v>
      </c>
      <c r="F74" s="3">
        <f t="shared" si="5"/>
        <v>117.34166666666667</v>
      </c>
      <c r="G74" s="3">
        <f>SUM(Table39[[#This Row],[RN Hours Contract (W/ Admin, DON)]], Table39[[#This Row],[LPN Contract Hours (w/ Admin)]], Table39[[#This Row],[CNA/NA/Med Aide Contract Hours]])</f>
        <v>0</v>
      </c>
      <c r="H74" s="4">
        <f>Table39[[#This Row],[Total Contract Hours]]/Table39[[#This Row],[Total Hours Nurse Staffing]]</f>
        <v>0</v>
      </c>
      <c r="I74" s="3">
        <f>SUM(Table39[[#This Row],[RN Hours]], Table39[[#This Row],[RN Admin Hours]], Table39[[#This Row],[RN DON Hours]])</f>
        <v>23.824999999999999</v>
      </c>
      <c r="J74" s="3">
        <f t="shared" si="3"/>
        <v>0</v>
      </c>
      <c r="K74" s="4">
        <f>Table39[[#This Row],[RN Hours Contract (W/ Admin, DON)]]/Table39[[#This Row],[RN Hours (w/ Admin, DON)]]</f>
        <v>0</v>
      </c>
      <c r="L74" s="3">
        <v>14.222222222222221</v>
      </c>
      <c r="M74" s="3">
        <v>0</v>
      </c>
      <c r="N74" s="4">
        <f>Table39[[#This Row],[RN Hours Contract]]/Table39[[#This Row],[RN Hours]]</f>
        <v>0</v>
      </c>
      <c r="O74" s="3">
        <v>4.447222222222222</v>
      </c>
      <c r="P74" s="3">
        <v>0</v>
      </c>
      <c r="Q74" s="4">
        <f>Table39[[#This Row],[RN Admin Hours Contract]]/Table39[[#This Row],[RN Admin Hours]]</f>
        <v>0</v>
      </c>
      <c r="R74" s="3">
        <v>5.1555555555555559</v>
      </c>
      <c r="S74" s="3">
        <v>0</v>
      </c>
      <c r="T74" s="4">
        <f>Table39[[#This Row],[RN DON Hours Contract]]/Table39[[#This Row],[RN DON Hours]]</f>
        <v>0</v>
      </c>
      <c r="U74" s="3">
        <f>SUM(Table39[[#This Row],[LPN Hours]], Table39[[#This Row],[LPN Admin Hours]])</f>
        <v>10.66388888888889</v>
      </c>
      <c r="V74" s="3">
        <f>Table39[[#This Row],[LPN Hours Contract]]+Table39[[#This Row],[LPN Admin Hours Contract]]</f>
        <v>0</v>
      </c>
      <c r="W74" s="4">
        <f t="shared" si="4"/>
        <v>0</v>
      </c>
      <c r="X74" s="3">
        <v>10.66388888888889</v>
      </c>
      <c r="Y74" s="3">
        <v>0</v>
      </c>
      <c r="Z74" s="4">
        <f>Table39[[#This Row],[LPN Hours Contract]]/Table39[[#This Row],[LPN Hours]]</f>
        <v>0</v>
      </c>
      <c r="AA74" s="3">
        <v>0</v>
      </c>
      <c r="AB74" s="3">
        <v>0</v>
      </c>
      <c r="AC74" s="4">
        <v>0</v>
      </c>
      <c r="AD74" s="3">
        <f>SUM(Table39[[#This Row],[CNA Hours]], Table39[[#This Row],[NA in Training Hours]], Table39[[#This Row],[Med Aide/Tech Hours]])</f>
        <v>82.852777777777774</v>
      </c>
      <c r="AE74" s="3">
        <f>SUM(Table39[[#This Row],[CNA Hours Contract]], Table39[[#This Row],[NA in Training Hours Contract]], Table39[[#This Row],[Med Aide/Tech Hours Contract]])</f>
        <v>0</v>
      </c>
      <c r="AF74" s="4">
        <f>Table39[[#This Row],[CNA/NA/Med Aide Contract Hours]]/Table39[[#This Row],[Total CNA, NA in Training, Med Aide/Tech Hours]]</f>
        <v>0</v>
      </c>
      <c r="AG74" s="3">
        <v>68.75277777777778</v>
      </c>
      <c r="AH74" s="3">
        <v>0</v>
      </c>
      <c r="AI74" s="4">
        <f>Table39[[#This Row],[CNA Hours Contract]]/Table39[[#This Row],[CNA Hours]]</f>
        <v>0</v>
      </c>
      <c r="AJ74" s="3">
        <v>0</v>
      </c>
      <c r="AK74" s="3">
        <v>0</v>
      </c>
      <c r="AL74" s="4">
        <v>0</v>
      </c>
      <c r="AM74" s="3">
        <v>14.1</v>
      </c>
      <c r="AN74" s="3">
        <v>0</v>
      </c>
      <c r="AO74" s="4">
        <f>Table39[[#This Row],[Med Aide/Tech Hours Contract]]/Table39[[#This Row],[Med Aide/Tech Hours]]</f>
        <v>0</v>
      </c>
      <c r="AP74" s="1" t="s">
        <v>72</v>
      </c>
      <c r="AQ74" s="1">
        <v>10</v>
      </c>
    </row>
    <row r="75" spans="1:43" x14ac:dyDescent="0.2">
      <c r="A75" s="1" t="s">
        <v>128</v>
      </c>
      <c r="B75" s="1" t="s">
        <v>202</v>
      </c>
      <c r="C75" s="1" t="s">
        <v>263</v>
      </c>
      <c r="D75" s="1" t="s">
        <v>334</v>
      </c>
      <c r="E75" s="3">
        <v>56.222222222222221</v>
      </c>
      <c r="F75" s="3">
        <f t="shared" si="5"/>
        <v>298.00833333333333</v>
      </c>
      <c r="G75" s="3">
        <f>SUM(Table39[[#This Row],[RN Hours Contract (W/ Admin, DON)]], Table39[[#This Row],[LPN Contract Hours (w/ Admin)]], Table39[[#This Row],[CNA/NA/Med Aide Contract Hours]])</f>
        <v>0</v>
      </c>
      <c r="H75" s="4">
        <f>Table39[[#This Row],[Total Contract Hours]]/Table39[[#This Row],[Total Hours Nurse Staffing]]</f>
        <v>0</v>
      </c>
      <c r="I75" s="3">
        <f>SUM(Table39[[#This Row],[RN Hours]], Table39[[#This Row],[RN Admin Hours]], Table39[[#This Row],[RN DON Hours]])</f>
        <v>126.44444444444444</v>
      </c>
      <c r="J75" s="3">
        <f t="shared" si="3"/>
        <v>0</v>
      </c>
      <c r="K75" s="4">
        <f>Table39[[#This Row],[RN Hours Contract (W/ Admin, DON)]]/Table39[[#This Row],[RN Hours (w/ Admin, DON)]]</f>
        <v>0</v>
      </c>
      <c r="L75" s="3">
        <v>105.46666666666667</v>
      </c>
      <c r="M75" s="3">
        <v>0</v>
      </c>
      <c r="N75" s="4">
        <f>Table39[[#This Row],[RN Hours Contract]]/Table39[[#This Row],[RN Hours]]</f>
        <v>0</v>
      </c>
      <c r="O75" s="3">
        <v>16.8</v>
      </c>
      <c r="P75" s="3">
        <v>0</v>
      </c>
      <c r="Q75" s="4">
        <f>Table39[[#This Row],[RN Admin Hours Contract]]/Table39[[#This Row],[RN Admin Hours]]</f>
        <v>0</v>
      </c>
      <c r="R75" s="3">
        <v>4.177777777777778</v>
      </c>
      <c r="S75" s="3">
        <v>0</v>
      </c>
      <c r="T75" s="4">
        <f>Table39[[#This Row],[RN DON Hours Contract]]/Table39[[#This Row],[RN DON Hours]]</f>
        <v>0</v>
      </c>
      <c r="U75" s="3">
        <f>SUM(Table39[[#This Row],[LPN Hours]], Table39[[#This Row],[LPN Admin Hours]])</f>
        <v>10.877777777777778</v>
      </c>
      <c r="V75" s="3">
        <f>Table39[[#This Row],[LPN Hours Contract]]+Table39[[#This Row],[LPN Admin Hours Contract]]</f>
        <v>0</v>
      </c>
      <c r="W75" s="4">
        <f t="shared" si="4"/>
        <v>0</v>
      </c>
      <c r="X75" s="3">
        <v>10.877777777777778</v>
      </c>
      <c r="Y75" s="3">
        <v>0</v>
      </c>
      <c r="Z75" s="4">
        <f>Table39[[#This Row],[LPN Hours Contract]]/Table39[[#This Row],[LPN Hours]]</f>
        <v>0</v>
      </c>
      <c r="AA75" s="3">
        <v>0</v>
      </c>
      <c r="AB75" s="3">
        <v>0</v>
      </c>
      <c r="AC75" s="4">
        <v>0</v>
      </c>
      <c r="AD75" s="3">
        <f>SUM(Table39[[#This Row],[CNA Hours]], Table39[[#This Row],[NA in Training Hours]], Table39[[#This Row],[Med Aide/Tech Hours]])</f>
        <v>160.68611111111113</v>
      </c>
      <c r="AE75" s="3">
        <f>SUM(Table39[[#This Row],[CNA Hours Contract]], Table39[[#This Row],[NA in Training Hours Contract]], Table39[[#This Row],[Med Aide/Tech Hours Contract]])</f>
        <v>0</v>
      </c>
      <c r="AF75" s="4">
        <f>Table39[[#This Row],[CNA/NA/Med Aide Contract Hours]]/Table39[[#This Row],[Total CNA, NA in Training, Med Aide/Tech Hours]]</f>
        <v>0</v>
      </c>
      <c r="AG75" s="3">
        <v>118.06111111111112</v>
      </c>
      <c r="AH75" s="3">
        <v>0</v>
      </c>
      <c r="AI75" s="4">
        <f>Table39[[#This Row],[CNA Hours Contract]]/Table39[[#This Row],[CNA Hours]]</f>
        <v>0</v>
      </c>
      <c r="AJ75" s="3">
        <v>42.625</v>
      </c>
      <c r="AK75" s="3">
        <v>0</v>
      </c>
      <c r="AL75" s="4">
        <f>Table39[[#This Row],[NA in Training Hours Contract]]/Table39[[#This Row],[NA in Training Hours]]</f>
        <v>0</v>
      </c>
      <c r="AM75" s="3">
        <v>0</v>
      </c>
      <c r="AN75" s="3">
        <v>0</v>
      </c>
      <c r="AO75" s="4">
        <v>0</v>
      </c>
      <c r="AP75" s="1" t="s">
        <v>73</v>
      </c>
      <c r="AQ75" s="1">
        <v>10</v>
      </c>
    </row>
    <row r="76" spans="1:43" x14ac:dyDescent="0.2">
      <c r="A76" s="1" t="s">
        <v>128</v>
      </c>
      <c r="B76" s="1" t="s">
        <v>203</v>
      </c>
      <c r="C76" s="1" t="s">
        <v>266</v>
      </c>
      <c r="D76" s="1" t="s">
        <v>321</v>
      </c>
      <c r="E76" s="3">
        <v>43.922222222222224</v>
      </c>
      <c r="F76" s="3">
        <f t="shared" si="5"/>
        <v>203.31666666666666</v>
      </c>
      <c r="G76" s="3">
        <f>SUM(Table39[[#This Row],[RN Hours Contract (W/ Admin, DON)]], Table39[[#This Row],[LPN Contract Hours (w/ Admin)]], Table39[[#This Row],[CNA/NA/Med Aide Contract Hours]])</f>
        <v>13.75</v>
      </c>
      <c r="H76" s="4">
        <f>Table39[[#This Row],[Total Contract Hours]]/Table39[[#This Row],[Total Hours Nurse Staffing]]</f>
        <v>6.7628494138863848E-2</v>
      </c>
      <c r="I76" s="3">
        <f>SUM(Table39[[#This Row],[RN Hours]], Table39[[#This Row],[RN Admin Hours]], Table39[[#This Row],[RN DON Hours]])</f>
        <v>35.397222222222219</v>
      </c>
      <c r="J76" s="3">
        <f t="shared" si="3"/>
        <v>0</v>
      </c>
      <c r="K76" s="4">
        <f>Table39[[#This Row],[RN Hours Contract (W/ Admin, DON)]]/Table39[[#This Row],[RN Hours (w/ Admin, DON)]]</f>
        <v>0</v>
      </c>
      <c r="L76" s="3">
        <v>15.213888888888889</v>
      </c>
      <c r="M76" s="3">
        <v>0</v>
      </c>
      <c r="N76" s="4">
        <f>Table39[[#This Row],[RN Hours Contract]]/Table39[[#This Row],[RN Hours]]</f>
        <v>0</v>
      </c>
      <c r="O76" s="3">
        <v>14.827777777777778</v>
      </c>
      <c r="P76" s="3">
        <v>0</v>
      </c>
      <c r="Q76" s="4">
        <f>Table39[[#This Row],[RN Admin Hours Contract]]/Table39[[#This Row],[RN Admin Hours]]</f>
        <v>0</v>
      </c>
      <c r="R76" s="3">
        <v>5.3555555555555552</v>
      </c>
      <c r="S76" s="3">
        <v>0</v>
      </c>
      <c r="T76" s="4">
        <f>Table39[[#This Row],[RN DON Hours Contract]]/Table39[[#This Row],[RN DON Hours]]</f>
        <v>0</v>
      </c>
      <c r="U76" s="3">
        <f>SUM(Table39[[#This Row],[LPN Hours]], Table39[[#This Row],[LPN Admin Hours]])</f>
        <v>38.411111111111111</v>
      </c>
      <c r="V76" s="3">
        <f>Table39[[#This Row],[LPN Hours Contract]]+Table39[[#This Row],[LPN Admin Hours Contract]]</f>
        <v>0</v>
      </c>
      <c r="W76" s="4">
        <f t="shared" si="4"/>
        <v>0</v>
      </c>
      <c r="X76" s="3">
        <v>33.741666666666667</v>
      </c>
      <c r="Y76" s="3">
        <v>0</v>
      </c>
      <c r="Z76" s="4">
        <f>Table39[[#This Row],[LPN Hours Contract]]/Table39[[#This Row],[LPN Hours]]</f>
        <v>0</v>
      </c>
      <c r="AA76" s="3">
        <v>4.6694444444444443</v>
      </c>
      <c r="AB76" s="3">
        <v>0</v>
      </c>
      <c r="AC76" s="4">
        <f>Table39[[#This Row],[LPN Admin Hours Contract]]/Table39[[#This Row],[LPN Admin Hours]]</f>
        <v>0</v>
      </c>
      <c r="AD76" s="3">
        <f>SUM(Table39[[#This Row],[CNA Hours]], Table39[[#This Row],[NA in Training Hours]], Table39[[#This Row],[Med Aide/Tech Hours]])</f>
        <v>129.50833333333333</v>
      </c>
      <c r="AE76" s="3">
        <f>SUM(Table39[[#This Row],[CNA Hours Contract]], Table39[[#This Row],[NA in Training Hours Contract]], Table39[[#This Row],[Med Aide/Tech Hours Contract]])</f>
        <v>13.75</v>
      </c>
      <c r="AF76" s="4">
        <f>Table39[[#This Row],[CNA/NA/Med Aide Contract Hours]]/Table39[[#This Row],[Total CNA, NA in Training, Med Aide/Tech Hours]]</f>
        <v>0.10617077408146194</v>
      </c>
      <c r="AG76" s="3">
        <v>109.39722222222223</v>
      </c>
      <c r="AH76" s="3">
        <v>13.75</v>
      </c>
      <c r="AI76" s="4">
        <f>Table39[[#This Row],[CNA Hours Contract]]/Table39[[#This Row],[CNA Hours]]</f>
        <v>0.12568874895259374</v>
      </c>
      <c r="AJ76" s="3">
        <v>9.4194444444444443</v>
      </c>
      <c r="AK76" s="3">
        <v>0</v>
      </c>
      <c r="AL76" s="4">
        <f>Table39[[#This Row],[NA in Training Hours Contract]]/Table39[[#This Row],[NA in Training Hours]]</f>
        <v>0</v>
      </c>
      <c r="AM76" s="3">
        <v>10.691666666666666</v>
      </c>
      <c r="AN76" s="3">
        <v>0</v>
      </c>
      <c r="AO76" s="4">
        <f>Table39[[#This Row],[Med Aide/Tech Hours Contract]]/Table39[[#This Row],[Med Aide/Tech Hours]]</f>
        <v>0</v>
      </c>
      <c r="AP76" s="1" t="s">
        <v>74</v>
      </c>
      <c r="AQ76" s="1">
        <v>10</v>
      </c>
    </row>
    <row r="77" spans="1:43" x14ac:dyDescent="0.2">
      <c r="A77" s="1" t="s">
        <v>128</v>
      </c>
      <c r="B77" s="1" t="s">
        <v>204</v>
      </c>
      <c r="C77" s="1" t="s">
        <v>263</v>
      </c>
      <c r="D77" s="1" t="s">
        <v>334</v>
      </c>
      <c r="E77" s="3">
        <v>55.8</v>
      </c>
      <c r="F77" s="3">
        <f t="shared" si="5"/>
        <v>250.35833333333335</v>
      </c>
      <c r="G77" s="3">
        <f>SUM(Table39[[#This Row],[RN Hours Contract (W/ Admin, DON)]], Table39[[#This Row],[LPN Contract Hours (w/ Admin)]], Table39[[#This Row],[CNA/NA/Med Aide Contract Hours]])</f>
        <v>0</v>
      </c>
      <c r="H77" s="4">
        <f>Table39[[#This Row],[Total Contract Hours]]/Table39[[#This Row],[Total Hours Nurse Staffing]]</f>
        <v>0</v>
      </c>
      <c r="I77" s="3">
        <f>SUM(Table39[[#This Row],[RN Hours]], Table39[[#This Row],[RN Admin Hours]], Table39[[#This Row],[RN DON Hours]])</f>
        <v>74.594444444444434</v>
      </c>
      <c r="J77" s="3">
        <f t="shared" si="3"/>
        <v>0</v>
      </c>
      <c r="K77" s="4">
        <f>Table39[[#This Row],[RN Hours Contract (W/ Admin, DON)]]/Table39[[#This Row],[RN Hours (w/ Admin, DON)]]</f>
        <v>0</v>
      </c>
      <c r="L77" s="3">
        <v>49.672222222222224</v>
      </c>
      <c r="M77" s="3">
        <v>0</v>
      </c>
      <c r="N77" s="4">
        <f>Table39[[#This Row],[RN Hours Contract]]/Table39[[#This Row],[RN Hours]]</f>
        <v>0</v>
      </c>
      <c r="O77" s="3">
        <v>19.322222222222223</v>
      </c>
      <c r="P77" s="3">
        <v>0</v>
      </c>
      <c r="Q77" s="4">
        <f>Table39[[#This Row],[RN Admin Hours Contract]]/Table39[[#This Row],[RN Admin Hours]]</f>
        <v>0</v>
      </c>
      <c r="R77" s="3">
        <v>5.6</v>
      </c>
      <c r="S77" s="3">
        <v>0</v>
      </c>
      <c r="T77" s="4">
        <f>Table39[[#This Row],[RN DON Hours Contract]]/Table39[[#This Row],[RN DON Hours]]</f>
        <v>0</v>
      </c>
      <c r="U77" s="3">
        <f>SUM(Table39[[#This Row],[LPN Hours]], Table39[[#This Row],[LPN Admin Hours]])</f>
        <v>17.094444444444445</v>
      </c>
      <c r="V77" s="3">
        <f>Table39[[#This Row],[LPN Hours Contract]]+Table39[[#This Row],[LPN Admin Hours Contract]]</f>
        <v>0</v>
      </c>
      <c r="W77" s="4">
        <f t="shared" si="4"/>
        <v>0</v>
      </c>
      <c r="X77" s="3">
        <v>17.094444444444445</v>
      </c>
      <c r="Y77" s="3">
        <v>0</v>
      </c>
      <c r="Z77" s="4">
        <f>Table39[[#This Row],[LPN Hours Contract]]/Table39[[#This Row],[LPN Hours]]</f>
        <v>0</v>
      </c>
      <c r="AA77" s="3">
        <v>0</v>
      </c>
      <c r="AB77" s="3">
        <v>0</v>
      </c>
      <c r="AC77" s="4">
        <v>0</v>
      </c>
      <c r="AD77" s="3">
        <f>SUM(Table39[[#This Row],[CNA Hours]], Table39[[#This Row],[NA in Training Hours]], Table39[[#This Row],[Med Aide/Tech Hours]])</f>
        <v>158.66944444444445</v>
      </c>
      <c r="AE77" s="3">
        <f>SUM(Table39[[#This Row],[CNA Hours Contract]], Table39[[#This Row],[NA in Training Hours Contract]], Table39[[#This Row],[Med Aide/Tech Hours Contract]])</f>
        <v>0</v>
      </c>
      <c r="AF77" s="4">
        <f>Table39[[#This Row],[CNA/NA/Med Aide Contract Hours]]/Table39[[#This Row],[Total CNA, NA in Training, Med Aide/Tech Hours]]</f>
        <v>0</v>
      </c>
      <c r="AG77" s="3">
        <v>128.09444444444443</v>
      </c>
      <c r="AH77" s="3">
        <v>0</v>
      </c>
      <c r="AI77" s="4">
        <f>Table39[[#This Row],[CNA Hours Contract]]/Table39[[#This Row],[CNA Hours]]</f>
        <v>0</v>
      </c>
      <c r="AJ77" s="3">
        <v>18.069444444444443</v>
      </c>
      <c r="AK77" s="3">
        <v>0</v>
      </c>
      <c r="AL77" s="4">
        <f>Table39[[#This Row],[NA in Training Hours Contract]]/Table39[[#This Row],[NA in Training Hours]]</f>
        <v>0</v>
      </c>
      <c r="AM77" s="3">
        <v>12.505555555555556</v>
      </c>
      <c r="AN77" s="3">
        <v>0</v>
      </c>
      <c r="AO77" s="4">
        <f>Table39[[#This Row],[Med Aide/Tech Hours Contract]]/Table39[[#This Row],[Med Aide/Tech Hours]]</f>
        <v>0</v>
      </c>
      <c r="AP77" s="1" t="s">
        <v>75</v>
      </c>
      <c r="AQ77" s="1">
        <v>10</v>
      </c>
    </row>
    <row r="78" spans="1:43" x14ac:dyDescent="0.2">
      <c r="A78" s="1" t="s">
        <v>128</v>
      </c>
      <c r="B78" s="1" t="s">
        <v>205</v>
      </c>
      <c r="C78" s="1" t="s">
        <v>265</v>
      </c>
      <c r="D78" s="1" t="s">
        <v>331</v>
      </c>
      <c r="E78" s="3">
        <v>38.366666666666667</v>
      </c>
      <c r="F78" s="3">
        <f t="shared" si="5"/>
        <v>174.29899999999998</v>
      </c>
      <c r="G78" s="3">
        <f>SUM(Table39[[#This Row],[RN Hours Contract (W/ Admin, DON)]], Table39[[#This Row],[LPN Contract Hours (w/ Admin)]], Table39[[#This Row],[CNA/NA/Med Aide Contract Hours]])</f>
        <v>0.17777777777777778</v>
      </c>
      <c r="H78" s="4">
        <f>Table39[[#This Row],[Total Contract Hours]]/Table39[[#This Row],[Total Hours Nurse Staffing]]</f>
        <v>1.0199586789240204E-3</v>
      </c>
      <c r="I78" s="3">
        <f>SUM(Table39[[#This Row],[RN Hours]], Table39[[#This Row],[RN Admin Hours]], Table39[[#This Row],[RN DON Hours]])</f>
        <v>13.161222222222225</v>
      </c>
      <c r="J78" s="3">
        <f t="shared" si="3"/>
        <v>0.17777777777777778</v>
      </c>
      <c r="K78" s="4">
        <f>Table39[[#This Row],[RN Hours Contract (W/ Admin, DON)]]/Table39[[#This Row],[RN Hours (w/ Admin, DON)]]</f>
        <v>1.3507695165089359E-2</v>
      </c>
      <c r="L78" s="3">
        <v>6.4937777777777788</v>
      </c>
      <c r="M78" s="3">
        <v>0.17777777777777778</v>
      </c>
      <c r="N78" s="4">
        <f>Table39[[#This Row],[RN Hours Contract]]/Table39[[#This Row],[RN Hours]]</f>
        <v>2.737663404284443E-2</v>
      </c>
      <c r="O78" s="3">
        <v>2.117777777777778</v>
      </c>
      <c r="P78" s="3">
        <v>0</v>
      </c>
      <c r="Q78" s="4">
        <f>Table39[[#This Row],[RN Admin Hours Contract]]/Table39[[#This Row],[RN Admin Hours]]</f>
        <v>0</v>
      </c>
      <c r="R78" s="3">
        <v>4.5496666666666679</v>
      </c>
      <c r="S78" s="3">
        <v>0</v>
      </c>
      <c r="T78" s="4">
        <f>Table39[[#This Row],[RN DON Hours Contract]]/Table39[[#This Row],[RN DON Hours]]</f>
        <v>0</v>
      </c>
      <c r="U78" s="3">
        <f>SUM(Table39[[#This Row],[LPN Hours]], Table39[[#This Row],[LPN Admin Hours]])</f>
        <v>44.667333333333332</v>
      </c>
      <c r="V78" s="3">
        <f>Table39[[#This Row],[LPN Hours Contract]]+Table39[[#This Row],[LPN Admin Hours Contract]]</f>
        <v>0</v>
      </c>
      <c r="W78" s="4">
        <f t="shared" si="4"/>
        <v>0</v>
      </c>
      <c r="X78" s="3">
        <v>44.667333333333332</v>
      </c>
      <c r="Y78" s="3">
        <v>0</v>
      </c>
      <c r="Z78" s="4">
        <f>Table39[[#This Row],[LPN Hours Contract]]/Table39[[#This Row],[LPN Hours]]</f>
        <v>0</v>
      </c>
      <c r="AA78" s="3">
        <v>0</v>
      </c>
      <c r="AB78" s="3">
        <v>0</v>
      </c>
      <c r="AC78" s="4">
        <v>0</v>
      </c>
      <c r="AD78" s="3">
        <f>SUM(Table39[[#This Row],[CNA Hours]], Table39[[#This Row],[NA in Training Hours]], Table39[[#This Row],[Med Aide/Tech Hours]])</f>
        <v>116.47044444444444</v>
      </c>
      <c r="AE78" s="3">
        <f>SUM(Table39[[#This Row],[CNA Hours Contract]], Table39[[#This Row],[NA in Training Hours Contract]], Table39[[#This Row],[Med Aide/Tech Hours Contract]])</f>
        <v>0</v>
      </c>
      <c r="AF78" s="4">
        <f>Table39[[#This Row],[CNA/NA/Med Aide Contract Hours]]/Table39[[#This Row],[Total CNA, NA in Training, Med Aide/Tech Hours]]</f>
        <v>0</v>
      </c>
      <c r="AG78" s="3">
        <v>116.47044444444444</v>
      </c>
      <c r="AH78" s="3">
        <v>0</v>
      </c>
      <c r="AI78" s="4">
        <f>Table39[[#This Row],[CNA Hours Contract]]/Table39[[#This Row],[CNA Hours]]</f>
        <v>0</v>
      </c>
      <c r="AJ78" s="3">
        <v>0</v>
      </c>
      <c r="AK78" s="3">
        <v>0</v>
      </c>
      <c r="AL78" s="4">
        <v>0</v>
      </c>
      <c r="AM78" s="3">
        <v>0</v>
      </c>
      <c r="AN78" s="3">
        <v>0</v>
      </c>
      <c r="AO78" s="4">
        <v>0</v>
      </c>
      <c r="AP78" s="1" t="s">
        <v>76</v>
      </c>
      <c r="AQ78" s="1">
        <v>10</v>
      </c>
    </row>
    <row r="79" spans="1:43" x14ac:dyDescent="0.2">
      <c r="A79" s="1" t="s">
        <v>128</v>
      </c>
      <c r="B79" s="1" t="s">
        <v>206</v>
      </c>
      <c r="C79" s="1" t="s">
        <v>286</v>
      </c>
      <c r="D79" s="1" t="s">
        <v>339</v>
      </c>
      <c r="E79" s="3">
        <v>53.477777777777774</v>
      </c>
      <c r="F79" s="3">
        <f t="shared" si="5"/>
        <v>265.39722222222224</v>
      </c>
      <c r="G79" s="3">
        <f>SUM(Table39[[#This Row],[RN Hours Contract (W/ Admin, DON)]], Table39[[#This Row],[LPN Contract Hours (w/ Admin)]], Table39[[#This Row],[CNA/NA/Med Aide Contract Hours]])</f>
        <v>0</v>
      </c>
      <c r="H79" s="4">
        <f>Table39[[#This Row],[Total Contract Hours]]/Table39[[#This Row],[Total Hours Nurse Staffing]]</f>
        <v>0</v>
      </c>
      <c r="I79" s="3">
        <f>SUM(Table39[[#This Row],[RN Hours]], Table39[[#This Row],[RN Admin Hours]], Table39[[#This Row],[RN DON Hours]])</f>
        <v>56.761111111111113</v>
      </c>
      <c r="J79" s="3">
        <f t="shared" si="3"/>
        <v>0</v>
      </c>
      <c r="K79" s="4">
        <f>Table39[[#This Row],[RN Hours Contract (W/ Admin, DON)]]/Table39[[#This Row],[RN Hours (w/ Admin, DON)]]</f>
        <v>0</v>
      </c>
      <c r="L79" s="3">
        <v>36.06666666666667</v>
      </c>
      <c r="M79" s="3">
        <v>0</v>
      </c>
      <c r="N79" s="4">
        <f>Table39[[#This Row],[RN Hours Contract]]/Table39[[#This Row],[RN Hours]]</f>
        <v>0</v>
      </c>
      <c r="O79" s="3">
        <v>15.516666666666667</v>
      </c>
      <c r="P79" s="3">
        <v>0</v>
      </c>
      <c r="Q79" s="4">
        <f>Table39[[#This Row],[RN Admin Hours Contract]]/Table39[[#This Row],[RN Admin Hours]]</f>
        <v>0</v>
      </c>
      <c r="R79" s="3">
        <v>5.177777777777778</v>
      </c>
      <c r="S79" s="3">
        <v>0</v>
      </c>
      <c r="T79" s="4">
        <f>Table39[[#This Row],[RN DON Hours Contract]]/Table39[[#This Row],[RN DON Hours]]</f>
        <v>0</v>
      </c>
      <c r="U79" s="3">
        <f>SUM(Table39[[#This Row],[LPN Hours]], Table39[[#This Row],[LPN Admin Hours]])</f>
        <v>27.074999999999999</v>
      </c>
      <c r="V79" s="3">
        <f>Table39[[#This Row],[LPN Hours Contract]]+Table39[[#This Row],[LPN Admin Hours Contract]]</f>
        <v>0</v>
      </c>
      <c r="W79" s="4">
        <f t="shared" si="4"/>
        <v>0</v>
      </c>
      <c r="X79" s="3">
        <v>27.074999999999999</v>
      </c>
      <c r="Y79" s="3">
        <v>0</v>
      </c>
      <c r="Z79" s="4">
        <f>Table39[[#This Row],[LPN Hours Contract]]/Table39[[#This Row],[LPN Hours]]</f>
        <v>0</v>
      </c>
      <c r="AA79" s="3">
        <v>0</v>
      </c>
      <c r="AB79" s="3">
        <v>0</v>
      </c>
      <c r="AC79" s="4">
        <v>0</v>
      </c>
      <c r="AD79" s="3">
        <f>SUM(Table39[[#This Row],[CNA Hours]], Table39[[#This Row],[NA in Training Hours]], Table39[[#This Row],[Med Aide/Tech Hours]])</f>
        <v>181.5611111111111</v>
      </c>
      <c r="AE79" s="3">
        <f>SUM(Table39[[#This Row],[CNA Hours Contract]], Table39[[#This Row],[NA in Training Hours Contract]], Table39[[#This Row],[Med Aide/Tech Hours Contract]])</f>
        <v>0</v>
      </c>
      <c r="AF79" s="4">
        <f>Table39[[#This Row],[CNA/NA/Med Aide Contract Hours]]/Table39[[#This Row],[Total CNA, NA in Training, Med Aide/Tech Hours]]</f>
        <v>0</v>
      </c>
      <c r="AG79" s="3">
        <v>141.27222222222221</v>
      </c>
      <c r="AH79" s="3">
        <v>0</v>
      </c>
      <c r="AI79" s="4">
        <f>Table39[[#This Row],[CNA Hours Contract]]/Table39[[#This Row],[CNA Hours]]</f>
        <v>0</v>
      </c>
      <c r="AJ79" s="3">
        <v>16.794444444444444</v>
      </c>
      <c r="AK79" s="3">
        <v>0</v>
      </c>
      <c r="AL79" s="4">
        <f>Table39[[#This Row],[NA in Training Hours Contract]]/Table39[[#This Row],[NA in Training Hours]]</f>
        <v>0</v>
      </c>
      <c r="AM79" s="3">
        <v>23.494444444444444</v>
      </c>
      <c r="AN79" s="3">
        <v>0</v>
      </c>
      <c r="AO79" s="4">
        <f>Table39[[#This Row],[Med Aide/Tech Hours Contract]]/Table39[[#This Row],[Med Aide/Tech Hours]]</f>
        <v>0</v>
      </c>
      <c r="AP79" s="1" t="s">
        <v>77</v>
      </c>
      <c r="AQ79" s="1">
        <v>10</v>
      </c>
    </row>
    <row r="80" spans="1:43" x14ac:dyDescent="0.2">
      <c r="A80" s="1" t="s">
        <v>128</v>
      </c>
      <c r="B80" s="1" t="s">
        <v>207</v>
      </c>
      <c r="C80" s="1" t="s">
        <v>304</v>
      </c>
      <c r="D80" s="1" t="s">
        <v>324</v>
      </c>
      <c r="E80" s="3">
        <v>23.3</v>
      </c>
      <c r="F80" s="3">
        <f t="shared" si="5"/>
        <v>123.58666666666667</v>
      </c>
      <c r="G80" s="3">
        <f>SUM(Table39[[#This Row],[RN Hours Contract (W/ Admin, DON)]], Table39[[#This Row],[LPN Contract Hours (w/ Admin)]], Table39[[#This Row],[CNA/NA/Med Aide Contract Hours]])</f>
        <v>9.5555555555555546E-2</v>
      </c>
      <c r="H80" s="4">
        <f>Table39[[#This Row],[Total Contract Hours]]/Table39[[#This Row],[Total Hours Nurse Staffing]]</f>
        <v>7.7318660768871134E-4</v>
      </c>
      <c r="I80" s="3">
        <f>SUM(Table39[[#This Row],[RN Hours]], Table39[[#This Row],[RN Admin Hours]], Table39[[#This Row],[RN DON Hours]])</f>
        <v>17.578888888888891</v>
      </c>
      <c r="J80" s="3">
        <f t="shared" si="3"/>
        <v>9.5555555555555546E-2</v>
      </c>
      <c r="K80" s="4">
        <f>Table39[[#This Row],[RN Hours Contract (W/ Admin, DON)]]/Table39[[#This Row],[RN Hours (w/ Admin, DON)]]</f>
        <v>5.4358131597244163E-3</v>
      </c>
      <c r="L80" s="3">
        <v>12.779666666666667</v>
      </c>
      <c r="M80" s="3">
        <v>9.5555555555555546E-2</v>
      </c>
      <c r="N80" s="4">
        <f>Table39[[#This Row],[RN Hours Contract]]/Table39[[#This Row],[RN Hours]]</f>
        <v>7.4771555509185591E-3</v>
      </c>
      <c r="O80" s="3">
        <v>0</v>
      </c>
      <c r="P80" s="3">
        <v>0</v>
      </c>
      <c r="Q80" s="4">
        <v>0</v>
      </c>
      <c r="R80" s="3">
        <v>4.7992222222222214</v>
      </c>
      <c r="S80" s="3">
        <v>0</v>
      </c>
      <c r="T80" s="4">
        <f>Table39[[#This Row],[RN DON Hours Contract]]/Table39[[#This Row],[RN DON Hours]]</f>
        <v>0</v>
      </c>
      <c r="U80" s="3">
        <f>SUM(Table39[[#This Row],[LPN Hours]], Table39[[#This Row],[LPN Admin Hours]])</f>
        <v>20.512</v>
      </c>
      <c r="V80" s="3">
        <f>Table39[[#This Row],[LPN Hours Contract]]+Table39[[#This Row],[LPN Admin Hours Contract]]</f>
        <v>0</v>
      </c>
      <c r="W80" s="4">
        <f t="shared" si="4"/>
        <v>0</v>
      </c>
      <c r="X80" s="3">
        <v>20.512</v>
      </c>
      <c r="Y80" s="3">
        <v>0</v>
      </c>
      <c r="Z80" s="4">
        <f>Table39[[#This Row],[LPN Hours Contract]]/Table39[[#This Row],[LPN Hours]]</f>
        <v>0</v>
      </c>
      <c r="AA80" s="3">
        <v>0</v>
      </c>
      <c r="AB80" s="3">
        <v>0</v>
      </c>
      <c r="AC80" s="4">
        <v>0</v>
      </c>
      <c r="AD80" s="3">
        <f>SUM(Table39[[#This Row],[CNA Hours]], Table39[[#This Row],[NA in Training Hours]], Table39[[#This Row],[Med Aide/Tech Hours]])</f>
        <v>85.495777777777789</v>
      </c>
      <c r="AE80" s="3">
        <f>SUM(Table39[[#This Row],[CNA Hours Contract]], Table39[[#This Row],[NA in Training Hours Contract]], Table39[[#This Row],[Med Aide/Tech Hours Contract]])</f>
        <v>0</v>
      </c>
      <c r="AF80" s="4">
        <f>Table39[[#This Row],[CNA/NA/Med Aide Contract Hours]]/Table39[[#This Row],[Total CNA, NA in Training, Med Aide/Tech Hours]]</f>
        <v>0</v>
      </c>
      <c r="AG80" s="3">
        <v>70.325000000000003</v>
      </c>
      <c r="AH80" s="3">
        <v>0</v>
      </c>
      <c r="AI80" s="4">
        <f>Table39[[#This Row],[CNA Hours Contract]]/Table39[[#This Row],[CNA Hours]]</f>
        <v>0</v>
      </c>
      <c r="AJ80" s="3">
        <v>1.1744444444444446</v>
      </c>
      <c r="AK80" s="3">
        <v>0</v>
      </c>
      <c r="AL80" s="4">
        <f>Table39[[#This Row],[NA in Training Hours Contract]]/Table39[[#This Row],[NA in Training Hours]]</f>
        <v>0</v>
      </c>
      <c r="AM80" s="3">
        <v>13.996333333333332</v>
      </c>
      <c r="AN80" s="3">
        <v>0</v>
      </c>
      <c r="AO80" s="4">
        <f>Table39[[#This Row],[Med Aide/Tech Hours Contract]]/Table39[[#This Row],[Med Aide/Tech Hours]]</f>
        <v>0</v>
      </c>
      <c r="AP80" s="1" t="s">
        <v>78</v>
      </c>
      <c r="AQ80" s="1">
        <v>10</v>
      </c>
    </row>
    <row r="81" spans="1:43" x14ac:dyDescent="0.2">
      <c r="A81" s="1" t="s">
        <v>128</v>
      </c>
      <c r="B81" s="1" t="s">
        <v>208</v>
      </c>
      <c r="C81" s="1" t="s">
        <v>259</v>
      </c>
      <c r="D81" s="1" t="s">
        <v>322</v>
      </c>
      <c r="E81" s="3">
        <v>25.944444444444443</v>
      </c>
      <c r="F81" s="3">
        <f t="shared" si="5"/>
        <v>147.35833333333335</v>
      </c>
      <c r="G81" s="3">
        <f>SUM(Table39[[#This Row],[RN Hours Contract (W/ Admin, DON)]], Table39[[#This Row],[LPN Contract Hours (w/ Admin)]], Table39[[#This Row],[CNA/NA/Med Aide Contract Hours]])</f>
        <v>18.716666666666665</v>
      </c>
      <c r="H81" s="4">
        <f>Table39[[#This Row],[Total Contract Hours]]/Table39[[#This Row],[Total Hours Nurse Staffing]]</f>
        <v>0.1270146468359441</v>
      </c>
      <c r="I81" s="3">
        <f>SUM(Table39[[#This Row],[RN Hours]], Table39[[#This Row],[RN Admin Hours]], Table39[[#This Row],[RN DON Hours]])</f>
        <v>23.030555555555551</v>
      </c>
      <c r="J81" s="3">
        <f t="shared" si="3"/>
        <v>0</v>
      </c>
      <c r="K81" s="4">
        <f>Table39[[#This Row],[RN Hours Contract (W/ Admin, DON)]]/Table39[[#This Row],[RN Hours (w/ Admin, DON)]]</f>
        <v>0</v>
      </c>
      <c r="L81" s="3">
        <v>9.8166666666666664</v>
      </c>
      <c r="M81" s="3">
        <v>0</v>
      </c>
      <c r="N81" s="4">
        <f>Table39[[#This Row],[RN Hours Contract]]/Table39[[#This Row],[RN Hours]]</f>
        <v>0</v>
      </c>
      <c r="O81" s="3">
        <v>8.6805555555555554</v>
      </c>
      <c r="P81" s="3">
        <v>0</v>
      </c>
      <c r="Q81" s="4">
        <f>Table39[[#This Row],[RN Admin Hours Contract]]/Table39[[#This Row],[RN Admin Hours]]</f>
        <v>0</v>
      </c>
      <c r="R81" s="3">
        <v>4.5333333333333332</v>
      </c>
      <c r="S81" s="3">
        <v>0</v>
      </c>
      <c r="T81" s="4">
        <f>Table39[[#This Row],[RN DON Hours Contract]]/Table39[[#This Row],[RN DON Hours]]</f>
        <v>0</v>
      </c>
      <c r="U81" s="3">
        <f>SUM(Table39[[#This Row],[LPN Hours]], Table39[[#This Row],[LPN Admin Hours]])</f>
        <v>29.530555555555559</v>
      </c>
      <c r="V81" s="3">
        <f>Table39[[#This Row],[LPN Hours Contract]]+Table39[[#This Row],[LPN Admin Hours Contract]]</f>
        <v>1.825</v>
      </c>
      <c r="W81" s="4">
        <f t="shared" si="4"/>
        <v>6.1800395071018713E-2</v>
      </c>
      <c r="X81" s="3">
        <v>24.475000000000001</v>
      </c>
      <c r="Y81" s="3">
        <v>1.825</v>
      </c>
      <c r="Z81" s="4">
        <f>Table39[[#This Row],[LPN Hours Contract]]/Table39[[#This Row],[LPN Hours]]</f>
        <v>7.4565883554647591E-2</v>
      </c>
      <c r="AA81" s="3">
        <v>5.0555555555555554</v>
      </c>
      <c r="AB81" s="3">
        <v>0</v>
      </c>
      <c r="AC81" s="4">
        <f>Table39[[#This Row],[LPN Admin Hours Contract]]/Table39[[#This Row],[LPN Admin Hours]]</f>
        <v>0</v>
      </c>
      <c r="AD81" s="3">
        <f>SUM(Table39[[#This Row],[CNA Hours]], Table39[[#This Row],[NA in Training Hours]], Table39[[#This Row],[Med Aide/Tech Hours]])</f>
        <v>94.797222222222231</v>
      </c>
      <c r="AE81" s="3">
        <f>SUM(Table39[[#This Row],[CNA Hours Contract]], Table39[[#This Row],[NA in Training Hours Contract]], Table39[[#This Row],[Med Aide/Tech Hours Contract]])</f>
        <v>16.891666666666666</v>
      </c>
      <c r="AF81" s="4">
        <f>Table39[[#This Row],[CNA/NA/Med Aide Contract Hours]]/Table39[[#This Row],[Total CNA, NA in Training, Med Aide/Tech Hours]]</f>
        <v>0.17818735898262369</v>
      </c>
      <c r="AG81" s="3">
        <v>83.613888888888894</v>
      </c>
      <c r="AH81" s="3">
        <v>16.891666666666666</v>
      </c>
      <c r="AI81" s="4">
        <f>Table39[[#This Row],[CNA Hours Contract]]/Table39[[#This Row],[CNA Hours]]</f>
        <v>0.20201986644961958</v>
      </c>
      <c r="AJ81" s="3">
        <v>0</v>
      </c>
      <c r="AK81" s="3">
        <v>0</v>
      </c>
      <c r="AL81" s="4">
        <v>0</v>
      </c>
      <c r="AM81" s="3">
        <v>11.183333333333334</v>
      </c>
      <c r="AN81" s="3">
        <v>0</v>
      </c>
      <c r="AO81" s="4">
        <f>Table39[[#This Row],[Med Aide/Tech Hours Contract]]/Table39[[#This Row],[Med Aide/Tech Hours]]</f>
        <v>0</v>
      </c>
      <c r="AP81" s="1" t="s">
        <v>79</v>
      </c>
      <c r="AQ81" s="1">
        <v>10</v>
      </c>
    </row>
    <row r="82" spans="1:43" x14ac:dyDescent="0.2">
      <c r="A82" s="1" t="s">
        <v>128</v>
      </c>
      <c r="B82" s="1" t="s">
        <v>209</v>
      </c>
      <c r="C82" s="1" t="s">
        <v>298</v>
      </c>
      <c r="D82" s="1" t="s">
        <v>344</v>
      </c>
      <c r="E82" s="3">
        <v>43.8</v>
      </c>
      <c r="F82" s="3">
        <f t="shared" si="5"/>
        <v>206.74922222222222</v>
      </c>
      <c r="G82" s="3">
        <f>SUM(Table39[[#This Row],[RN Hours Contract (W/ Admin, DON)]], Table39[[#This Row],[LPN Contract Hours (w/ Admin)]], Table39[[#This Row],[CNA/NA/Med Aide Contract Hours]])</f>
        <v>0.34566666666666668</v>
      </c>
      <c r="H82" s="4">
        <f>Table39[[#This Row],[Total Contract Hours]]/Table39[[#This Row],[Total Hours Nurse Staffing]]</f>
        <v>1.6719127789275574E-3</v>
      </c>
      <c r="I82" s="3">
        <f>SUM(Table39[[#This Row],[RN Hours]], Table39[[#This Row],[RN Admin Hours]], Table39[[#This Row],[RN DON Hours]])</f>
        <v>24.250333333333334</v>
      </c>
      <c r="J82" s="3">
        <f t="shared" si="3"/>
        <v>0</v>
      </c>
      <c r="K82" s="4">
        <f>Table39[[#This Row],[RN Hours Contract (W/ Admin, DON)]]/Table39[[#This Row],[RN Hours (w/ Admin, DON)]]</f>
        <v>0</v>
      </c>
      <c r="L82" s="3">
        <v>12.583666666666666</v>
      </c>
      <c r="M82" s="3">
        <v>0</v>
      </c>
      <c r="N82" s="4">
        <f>Table39[[#This Row],[RN Hours Contract]]/Table39[[#This Row],[RN Hours]]</f>
        <v>0</v>
      </c>
      <c r="O82" s="3">
        <v>7.05</v>
      </c>
      <c r="P82" s="3">
        <v>0</v>
      </c>
      <c r="Q82" s="4">
        <f>Table39[[#This Row],[RN Admin Hours Contract]]/Table39[[#This Row],[RN Admin Hours]]</f>
        <v>0</v>
      </c>
      <c r="R82" s="3">
        <v>4.6166666666666663</v>
      </c>
      <c r="S82" s="3">
        <v>0</v>
      </c>
      <c r="T82" s="4">
        <f>Table39[[#This Row],[RN DON Hours Contract]]/Table39[[#This Row],[RN DON Hours]]</f>
        <v>0</v>
      </c>
      <c r="U82" s="3">
        <f>SUM(Table39[[#This Row],[LPN Hours]], Table39[[#This Row],[LPN Admin Hours]])</f>
        <v>44.264000000000003</v>
      </c>
      <c r="V82" s="3">
        <f>Table39[[#This Row],[LPN Hours Contract]]+Table39[[#This Row],[LPN Admin Hours Contract]]</f>
        <v>0</v>
      </c>
      <c r="W82" s="4">
        <f t="shared" si="4"/>
        <v>0</v>
      </c>
      <c r="X82" s="3">
        <v>38.065444444444445</v>
      </c>
      <c r="Y82" s="3">
        <v>0</v>
      </c>
      <c r="Z82" s="4">
        <f>Table39[[#This Row],[LPN Hours Contract]]/Table39[[#This Row],[LPN Hours]]</f>
        <v>0</v>
      </c>
      <c r="AA82" s="3">
        <v>6.1985555555555569</v>
      </c>
      <c r="AB82" s="3">
        <v>0</v>
      </c>
      <c r="AC82" s="4">
        <f>Table39[[#This Row],[LPN Admin Hours Contract]]/Table39[[#This Row],[LPN Admin Hours]]</f>
        <v>0</v>
      </c>
      <c r="AD82" s="3">
        <f>SUM(Table39[[#This Row],[CNA Hours]], Table39[[#This Row],[NA in Training Hours]], Table39[[#This Row],[Med Aide/Tech Hours]])</f>
        <v>138.23488888888889</v>
      </c>
      <c r="AE82" s="3">
        <f>SUM(Table39[[#This Row],[CNA Hours Contract]], Table39[[#This Row],[NA in Training Hours Contract]], Table39[[#This Row],[Med Aide/Tech Hours Contract]])</f>
        <v>0.34566666666666668</v>
      </c>
      <c r="AF82" s="4">
        <f>Table39[[#This Row],[CNA/NA/Med Aide Contract Hours]]/Table39[[#This Row],[Total CNA, NA in Training, Med Aide/Tech Hours]]</f>
        <v>2.5005747061764439E-3</v>
      </c>
      <c r="AG82" s="3">
        <v>122.32344444444445</v>
      </c>
      <c r="AH82" s="3">
        <v>0.21422222222222223</v>
      </c>
      <c r="AI82" s="4">
        <f>Table39[[#This Row],[CNA Hours Contract]]/Table39[[#This Row],[CNA Hours]]</f>
        <v>1.7512768970425403E-3</v>
      </c>
      <c r="AJ82" s="3">
        <v>4.2825555555555548</v>
      </c>
      <c r="AK82" s="3">
        <v>0</v>
      </c>
      <c r="AL82" s="4">
        <f>Table39[[#This Row],[NA in Training Hours Contract]]/Table39[[#This Row],[NA in Training Hours]]</f>
        <v>0</v>
      </c>
      <c r="AM82" s="3">
        <v>11.628888888888888</v>
      </c>
      <c r="AN82" s="3">
        <v>0.13144444444444445</v>
      </c>
      <c r="AO82" s="4">
        <f>Table39[[#This Row],[Med Aide/Tech Hours Contract]]/Table39[[#This Row],[Med Aide/Tech Hours]]</f>
        <v>1.1303267724058859E-2</v>
      </c>
      <c r="AP82" s="1" t="s">
        <v>80</v>
      </c>
      <c r="AQ82" s="1">
        <v>10</v>
      </c>
    </row>
    <row r="83" spans="1:43" x14ac:dyDescent="0.2">
      <c r="A83" s="1" t="s">
        <v>128</v>
      </c>
      <c r="B83" s="1" t="s">
        <v>210</v>
      </c>
      <c r="C83" s="1" t="s">
        <v>263</v>
      </c>
      <c r="D83" s="1" t="s">
        <v>334</v>
      </c>
      <c r="E83" s="3">
        <v>39.244444444444447</v>
      </c>
      <c r="F83" s="3">
        <f t="shared" si="5"/>
        <v>170.35555555555555</v>
      </c>
      <c r="G83" s="3">
        <f>SUM(Table39[[#This Row],[RN Hours Contract (W/ Admin, DON)]], Table39[[#This Row],[LPN Contract Hours (w/ Admin)]], Table39[[#This Row],[CNA/NA/Med Aide Contract Hours]])</f>
        <v>5.4916666666666663</v>
      </c>
      <c r="H83" s="4">
        <f>Table39[[#This Row],[Total Contract Hours]]/Table39[[#This Row],[Total Hours Nurse Staffing]]</f>
        <v>3.2236498825984866E-2</v>
      </c>
      <c r="I83" s="3">
        <f>SUM(Table39[[#This Row],[RN Hours]], Table39[[#This Row],[RN Admin Hours]], Table39[[#This Row],[RN DON Hours]])</f>
        <v>30.366666666666667</v>
      </c>
      <c r="J83" s="3">
        <f t="shared" si="3"/>
        <v>0.51111111111111107</v>
      </c>
      <c r="K83" s="4">
        <f>Table39[[#This Row],[RN Hours Contract (W/ Admin, DON)]]/Table39[[#This Row],[RN Hours (w/ Admin, DON)]]</f>
        <v>1.6831320892791803E-2</v>
      </c>
      <c r="L83" s="3">
        <v>14.466666666666667</v>
      </c>
      <c r="M83" s="3">
        <v>0.51111111111111107</v>
      </c>
      <c r="N83" s="4">
        <f>Table39[[#This Row],[RN Hours Contract]]/Table39[[#This Row],[RN Hours]]</f>
        <v>3.5330261136712747E-2</v>
      </c>
      <c r="O83" s="3">
        <v>11.622222222222222</v>
      </c>
      <c r="P83" s="3">
        <v>0</v>
      </c>
      <c r="Q83" s="4">
        <f>Table39[[#This Row],[RN Admin Hours Contract]]/Table39[[#This Row],[RN Admin Hours]]</f>
        <v>0</v>
      </c>
      <c r="R83" s="3">
        <v>4.2777777777777777</v>
      </c>
      <c r="S83" s="3">
        <v>0</v>
      </c>
      <c r="T83" s="4">
        <f>Table39[[#This Row],[RN DON Hours Contract]]/Table39[[#This Row],[RN DON Hours]]</f>
        <v>0</v>
      </c>
      <c r="U83" s="3">
        <f>SUM(Table39[[#This Row],[LPN Hours]], Table39[[#This Row],[LPN Admin Hours]])</f>
        <v>28.85</v>
      </c>
      <c r="V83" s="3">
        <f>Table39[[#This Row],[LPN Hours Contract]]+Table39[[#This Row],[LPN Admin Hours Contract]]</f>
        <v>0.15277777777777779</v>
      </c>
      <c r="W83" s="4">
        <f t="shared" si="4"/>
        <v>5.2955902176006165E-3</v>
      </c>
      <c r="X83" s="3">
        <v>22.247222222222224</v>
      </c>
      <c r="Y83" s="3">
        <v>0.15277777777777779</v>
      </c>
      <c r="Z83" s="4">
        <f>Table39[[#This Row],[LPN Hours Contract]]/Table39[[#This Row],[LPN Hours]]</f>
        <v>6.8672743163940573E-3</v>
      </c>
      <c r="AA83" s="3">
        <v>6.6027777777777779</v>
      </c>
      <c r="AB83" s="3">
        <v>0</v>
      </c>
      <c r="AC83" s="4">
        <f>Table39[[#This Row],[LPN Admin Hours Contract]]/Table39[[#This Row],[LPN Admin Hours]]</f>
        <v>0</v>
      </c>
      <c r="AD83" s="3">
        <f>SUM(Table39[[#This Row],[CNA Hours]], Table39[[#This Row],[NA in Training Hours]], Table39[[#This Row],[Med Aide/Tech Hours]])</f>
        <v>111.1388888888889</v>
      </c>
      <c r="AE83" s="3">
        <f>SUM(Table39[[#This Row],[CNA Hours Contract]], Table39[[#This Row],[NA in Training Hours Contract]], Table39[[#This Row],[Med Aide/Tech Hours Contract]])</f>
        <v>4.8277777777777775</v>
      </c>
      <c r="AF83" s="4">
        <f>Table39[[#This Row],[CNA/NA/Med Aide Contract Hours]]/Table39[[#This Row],[Total CNA, NA in Training, Med Aide/Tech Hours]]</f>
        <v>4.3439140214946256E-2</v>
      </c>
      <c r="AG83" s="3">
        <v>84.202777777777783</v>
      </c>
      <c r="AH83" s="3">
        <v>4.8277777777777775</v>
      </c>
      <c r="AI83" s="4">
        <f>Table39[[#This Row],[CNA Hours Contract]]/Table39[[#This Row],[CNA Hours]]</f>
        <v>5.7335136740012532E-2</v>
      </c>
      <c r="AJ83" s="3">
        <v>13.627777777777778</v>
      </c>
      <c r="AK83" s="3">
        <v>0</v>
      </c>
      <c r="AL83" s="4">
        <f>Table39[[#This Row],[NA in Training Hours Contract]]/Table39[[#This Row],[NA in Training Hours]]</f>
        <v>0</v>
      </c>
      <c r="AM83" s="3">
        <v>13.308333333333334</v>
      </c>
      <c r="AN83" s="3">
        <v>0</v>
      </c>
      <c r="AO83" s="4">
        <f>Table39[[#This Row],[Med Aide/Tech Hours Contract]]/Table39[[#This Row],[Med Aide/Tech Hours]]</f>
        <v>0</v>
      </c>
      <c r="AP83" s="1" t="s">
        <v>81</v>
      </c>
      <c r="AQ83" s="1">
        <v>10</v>
      </c>
    </row>
    <row r="84" spans="1:43" x14ac:dyDescent="0.2">
      <c r="A84" s="1" t="s">
        <v>128</v>
      </c>
      <c r="B84" s="1" t="s">
        <v>211</v>
      </c>
      <c r="C84" s="1" t="s">
        <v>271</v>
      </c>
      <c r="D84" s="1" t="s">
        <v>335</v>
      </c>
      <c r="E84" s="3">
        <v>36.466666666666669</v>
      </c>
      <c r="F84" s="3">
        <f t="shared" si="5"/>
        <v>167.76666666666665</v>
      </c>
      <c r="G84" s="3">
        <f>SUM(Table39[[#This Row],[RN Hours Contract (W/ Admin, DON)]], Table39[[#This Row],[LPN Contract Hours (w/ Admin)]], Table39[[#This Row],[CNA/NA/Med Aide Contract Hours]])</f>
        <v>0</v>
      </c>
      <c r="H84" s="4">
        <f>Table39[[#This Row],[Total Contract Hours]]/Table39[[#This Row],[Total Hours Nurse Staffing]]</f>
        <v>0</v>
      </c>
      <c r="I84" s="3">
        <f>SUM(Table39[[#This Row],[RN Hours]], Table39[[#This Row],[RN Admin Hours]], Table39[[#This Row],[RN DON Hours]])</f>
        <v>7.7361111111111107</v>
      </c>
      <c r="J84" s="3">
        <f t="shared" si="3"/>
        <v>0</v>
      </c>
      <c r="K84" s="4">
        <f>Table39[[#This Row],[RN Hours Contract (W/ Admin, DON)]]/Table39[[#This Row],[RN Hours (w/ Admin, DON)]]</f>
        <v>0</v>
      </c>
      <c r="L84" s="3">
        <v>1.9555555555555555</v>
      </c>
      <c r="M84" s="3">
        <v>0</v>
      </c>
      <c r="N84" s="4">
        <f>Table39[[#This Row],[RN Hours Contract]]/Table39[[#This Row],[RN Hours]]</f>
        <v>0</v>
      </c>
      <c r="O84" s="3">
        <v>0.18055555555555555</v>
      </c>
      <c r="P84" s="3">
        <v>0</v>
      </c>
      <c r="Q84" s="4">
        <f>Table39[[#This Row],[RN Admin Hours Contract]]/Table39[[#This Row],[RN Admin Hours]]</f>
        <v>0</v>
      </c>
      <c r="R84" s="3">
        <v>5.6</v>
      </c>
      <c r="S84" s="3">
        <v>0</v>
      </c>
      <c r="T84" s="4">
        <f>Table39[[#This Row],[RN DON Hours Contract]]/Table39[[#This Row],[RN DON Hours]]</f>
        <v>0</v>
      </c>
      <c r="U84" s="3">
        <f>SUM(Table39[[#This Row],[LPN Hours]], Table39[[#This Row],[LPN Admin Hours]])</f>
        <v>42.161111111111111</v>
      </c>
      <c r="V84" s="3">
        <f>Table39[[#This Row],[LPN Hours Contract]]+Table39[[#This Row],[LPN Admin Hours Contract]]</f>
        <v>0</v>
      </c>
      <c r="W84" s="4">
        <f t="shared" si="4"/>
        <v>0</v>
      </c>
      <c r="X84" s="3">
        <v>36.963888888888889</v>
      </c>
      <c r="Y84" s="3">
        <v>0</v>
      </c>
      <c r="Z84" s="4">
        <f>Table39[[#This Row],[LPN Hours Contract]]/Table39[[#This Row],[LPN Hours]]</f>
        <v>0</v>
      </c>
      <c r="AA84" s="3">
        <v>5.197222222222222</v>
      </c>
      <c r="AB84" s="3">
        <v>0</v>
      </c>
      <c r="AC84" s="4">
        <f>Table39[[#This Row],[LPN Admin Hours Contract]]/Table39[[#This Row],[LPN Admin Hours]]</f>
        <v>0</v>
      </c>
      <c r="AD84" s="3">
        <f>SUM(Table39[[#This Row],[CNA Hours]], Table39[[#This Row],[NA in Training Hours]], Table39[[#This Row],[Med Aide/Tech Hours]])</f>
        <v>117.86944444444444</v>
      </c>
      <c r="AE84" s="3">
        <f>SUM(Table39[[#This Row],[CNA Hours Contract]], Table39[[#This Row],[NA in Training Hours Contract]], Table39[[#This Row],[Med Aide/Tech Hours Contract]])</f>
        <v>0</v>
      </c>
      <c r="AF84" s="4">
        <f>Table39[[#This Row],[CNA/NA/Med Aide Contract Hours]]/Table39[[#This Row],[Total CNA, NA in Training, Med Aide/Tech Hours]]</f>
        <v>0</v>
      </c>
      <c r="AG84" s="3">
        <v>101.84444444444445</v>
      </c>
      <c r="AH84" s="3">
        <v>0</v>
      </c>
      <c r="AI84" s="4">
        <f>Table39[[#This Row],[CNA Hours Contract]]/Table39[[#This Row],[CNA Hours]]</f>
        <v>0</v>
      </c>
      <c r="AJ84" s="3">
        <v>2.3888888888888888</v>
      </c>
      <c r="AK84" s="3">
        <v>0</v>
      </c>
      <c r="AL84" s="4">
        <f>Table39[[#This Row],[NA in Training Hours Contract]]/Table39[[#This Row],[NA in Training Hours]]</f>
        <v>0</v>
      </c>
      <c r="AM84" s="3">
        <v>13.636111111111111</v>
      </c>
      <c r="AN84" s="3">
        <v>0</v>
      </c>
      <c r="AO84" s="4">
        <f>Table39[[#This Row],[Med Aide/Tech Hours Contract]]/Table39[[#This Row],[Med Aide/Tech Hours]]</f>
        <v>0</v>
      </c>
      <c r="AP84" s="1" t="s">
        <v>82</v>
      </c>
      <c r="AQ84" s="1">
        <v>10</v>
      </c>
    </row>
    <row r="85" spans="1:43" x14ac:dyDescent="0.2">
      <c r="A85" s="1" t="s">
        <v>128</v>
      </c>
      <c r="B85" s="1" t="s">
        <v>212</v>
      </c>
      <c r="C85" s="1" t="s">
        <v>305</v>
      </c>
      <c r="D85" s="1" t="s">
        <v>341</v>
      </c>
      <c r="E85" s="3">
        <v>29.711111111111112</v>
      </c>
      <c r="F85" s="3">
        <f t="shared" si="5"/>
        <v>148.07177777777778</v>
      </c>
      <c r="G85" s="3">
        <f>SUM(Table39[[#This Row],[RN Hours Contract (W/ Admin, DON)]], Table39[[#This Row],[LPN Contract Hours (w/ Admin)]], Table39[[#This Row],[CNA/NA/Med Aide Contract Hours]])</f>
        <v>4.2527777777777782</v>
      </c>
      <c r="H85" s="4">
        <f>Table39[[#This Row],[Total Contract Hours]]/Table39[[#This Row],[Total Hours Nurse Staffing]]</f>
        <v>2.8721055704215525E-2</v>
      </c>
      <c r="I85" s="3">
        <f>SUM(Table39[[#This Row],[RN Hours]], Table39[[#This Row],[RN Admin Hours]], Table39[[#This Row],[RN DON Hours]])</f>
        <v>27.058333333333341</v>
      </c>
      <c r="J85" s="3">
        <f t="shared" si="3"/>
        <v>0.66666666666666663</v>
      </c>
      <c r="K85" s="4">
        <f>Table39[[#This Row],[RN Hours Contract (W/ Admin, DON)]]/Table39[[#This Row],[RN Hours (w/ Admin, DON)]]</f>
        <v>2.4638127502309818E-2</v>
      </c>
      <c r="L85" s="3">
        <v>13.638333333333334</v>
      </c>
      <c r="M85" s="3">
        <v>0.66666666666666663</v>
      </c>
      <c r="N85" s="4">
        <f>Table39[[#This Row],[RN Hours Contract]]/Table39[[#This Row],[RN Hours]]</f>
        <v>4.888182818037394E-2</v>
      </c>
      <c r="O85" s="3">
        <v>8.4830000000000023</v>
      </c>
      <c r="P85" s="3">
        <v>0</v>
      </c>
      <c r="Q85" s="4">
        <f>Table39[[#This Row],[RN Admin Hours Contract]]/Table39[[#This Row],[RN Admin Hours]]</f>
        <v>0</v>
      </c>
      <c r="R85" s="3">
        <v>4.9370000000000038</v>
      </c>
      <c r="S85" s="3">
        <v>0</v>
      </c>
      <c r="T85" s="4">
        <f>Table39[[#This Row],[RN DON Hours Contract]]/Table39[[#This Row],[RN DON Hours]]</f>
        <v>0</v>
      </c>
      <c r="U85" s="3">
        <f>SUM(Table39[[#This Row],[LPN Hours]], Table39[[#This Row],[LPN Admin Hours]])</f>
        <v>30.870111111111108</v>
      </c>
      <c r="V85" s="3">
        <f>Table39[[#This Row],[LPN Hours Contract]]+Table39[[#This Row],[LPN Admin Hours Contract]]</f>
        <v>0</v>
      </c>
      <c r="W85" s="4">
        <f t="shared" si="4"/>
        <v>0</v>
      </c>
      <c r="X85" s="3">
        <v>30.698999999999998</v>
      </c>
      <c r="Y85" s="3">
        <v>0</v>
      </c>
      <c r="Z85" s="4">
        <f>Table39[[#This Row],[LPN Hours Contract]]/Table39[[#This Row],[LPN Hours]]</f>
        <v>0</v>
      </c>
      <c r="AA85" s="3">
        <v>0.1711111111111111</v>
      </c>
      <c r="AB85" s="3">
        <v>0</v>
      </c>
      <c r="AC85" s="4">
        <f>Table39[[#This Row],[LPN Admin Hours Contract]]/Table39[[#This Row],[LPN Admin Hours]]</f>
        <v>0</v>
      </c>
      <c r="AD85" s="3">
        <f>SUM(Table39[[#This Row],[CNA Hours]], Table39[[#This Row],[NA in Training Hours]], Table39[[#This Row],[Med Aide/Tech Hours]])</f>
        <v>90.143333333333331</v>
      </c>
      <c r="AE85" s="3">
        <f>SUM(Table39[[#This Row],[CNA Hours Contract]], Table39[[#This Row],[NA in Training Hours Contract]], Table39[[#This Row],[Med Aide/Tech Hours Contract]])</f>
        <v>3.5861111111111112</v>
      </c>
      <c r="AF85" s="4">
        <f>Table39[[#This Row],[CNA/NA/Med Aide Contract Hours]]/Table39[[#This Row],[Total CNA, NA in Training, Med Aide/Tech Hours]]</f>
        <v>3.9782321981042541E-2</v>
      </c>
      <c r="AG85" s="3">
        <v>89.296111111111102</v>
      </c>
      <c r="AH85" s="3">
        <v>3.5861111111111112</v>
      </c>
      <c r="AI85" s="4">
        <f>Table39[[#This Row],[CNA Hours Contract]]/Table39[[#This Row],[CNA Hours]]</f>
        <v>4.015976806256339E-2</v>
      </c>
      <c r="AJ85" s="3">
        <v>0</v>
      </c>
      <c r="AK85" s="3">
        <v>0</v>
      </c>
      <c r="AL85" s="4">
        <v>0</v>
      </c>
      <c r="AM85" s="3">
        <v>0.84722222222222221</v>
      </c>
      <c r="AN85" s="3">
        <v>0</v>
      </c>
      <c r="AO85" s="4">
        <f>Table39[[#This Row],[Med Aide/Tech Hours Contract]]/Table39[[#This Row],[Med Aide/Tech Hours]]</f>
        <v>0</v>
      </c>
      <c r="AP85" s="1" t="s">
        <v>83</v>
      </c>
      <c r="AQ85" s="1">
        <v>10</v>
      </c>
    </row>
    <row r="86" spans="1:43" x14ac:dyDescent="0.2">
      <c r="A86" s="1" t="s">
        <v>128</v>
      </c>
      <c r="B86" s="1" t="s">
        <v>213</v>
      </c>
      <c r="C86" s="1" t="s">
        <v>283</v>
      </c>
      <c r="D86" s="1" t="s">
        <v>337</v>
      </c>
      <c r="E86" s="3">
        <v>26.833333333333332</v>
      </c>
      <c r="F86" s="3">
        <f t="shared" si="5"/>
        <v>113.00266666666668</v>
      </c>
      <c r="G86" s="3">
        <f>SUM(Table39[[#This Row],[RN Hours Contract (W/ Admin, DON)]], Table39[[#This Row],[LPN Contract Hours (w/ Admin)]], Table39[[#This Row],[CNA/NA/Med Aide Contract Hours]])</f>
        <v>16.026888888888891</v>
      </c>
      <c r="H86" s="4">
        <f>Table39[[#This Row],[Total Contract Hours]]/Table39[[#This Row],[Total Hours Nurse Staffing]]</f>
        <v>0.14182752816059405</v>
      </c>
      <c r="I86" s="3">
        <f>SUM(Table39[[#This Row],[RN Hours]], Table39[[#This Row],[RN Admin Hours]], Table39[[#This Row],[RN DON Hours]])</f>
        <v>13.128777777777781</v>
      </c>
      <c r="J86" s="3">
        <f t="shared" si="3"/>
        <v>1.0222222222222221</v>
      </c>
      <c r="K86" s="4">
        <f>Table39[[#This Row],[RN Hours Contract (W/ Admin, DON)]]/Table39[[#This Row],[RN Hours (w/ Admin, DON)]]</f>
        <v>7.7861187044575508E-2</v>
      </c>
      <c r="L86" s="3">
        <v>8.594444444444445</v>
      </c>
      <c r="M86" s="3">
        <v>1.0222222222222221</v>
      </c>
      <c r="N86" s="4">
        <f>Table39[[#This Row],[RN Hours Contract]]/Table39[[#This Row],[RN Hours]]</f>
        <v>0.11893988364576598</v>
      </c>
      <c r="O86" s="3">
        <v>0</v>
      </c>
      <c r="P86" s="3">
        <v>0</v>
      </c>
      <c r="Q86" s="4">
        <v>0</v>
      </c>
      <c r="R86" s="3">
        <v>4.5343333333333353</v>
      </c>
      <c r="S86" s="3">
        <v>0</v>
      </c>
      <c r="T86" s="4">
        <f>Table39[[#This Row],[RN DON Hours Contract]]/Table39[[#This Row],[RN DON Hours]]</f>
        <v>0</v>
      </c>
      <c r="U86" s="3">
        <f>SUM(Table39[[#This Row],[LPN Hours]], Table39[[#This Row],[LPN Admin Hours]])</f>
        <v>33.965333333333334</v>
      </c>
      <c r="V86" s="3">
        <f>Table39[[#This Row],[LPN Hours Contract]]+Table39[[#This Row],[LPN Admin Hours Contract]]</f>
        <v>1.9583333333333333</v>
      </c>
      <c r="W86" s="4">
        <f t="shared" si="4"/>
        <v>5.7656826568265679E-2</v>
      </c>
      <c r="X86" s="3">
        <v>33.965333333333334</v>
      </c>
      <c r="Y86" s="3">
        <v>1.9583333333333333</v>
      </c>
      <c r="Z86" s="4">
        <f>Table39[[#This Row],[LPN Hours Contract]]/Table39[[#This Row],[LPN Hours]]</f>
        <v>5.7656826568265679E-2</v>
      </c>
      <c r="AA86" s="3">
        <v>0</v>
      </c>
      <c r="AB86" s="3">
        <v>0</v>
      </c>
      <c r="AC86" s="4">
        <v>0</v>
      </c>
      <c r="AD86" s="3">
        <f>SUM(Table39[[#This Row],[CNA Hours]], Table39[[#This Row],[NA in Training Hours]], Table39[[#This Row],[Med Aide/Tech Hours]])</f>
        <v>65.908555555555566</v>
      </c>
      <c r="AE86" s="3">
        <f>SUM(Table39[[#This Row],[CNA Hours Contract]], Table39[[#This Row],[NA in Training Hours Contract]], Table39[[#This Row],[Med Aide/Tech Hours Contract]])</f>
        <v>13.046333333333335</v>
      </c>
      <c r="AF86" s="4">
        <f>Table39[[#This Row],[CNA/NA/Med Aide Contract Hours]]/Table39[[#This Row],[Total CNA, NA in Training, Med Aide/Tech Hours]]</f>
        <v>0.19794597565313557</v>
      </c>
      <c r="AG86" s="3">
        <v>65.908555555555566</v>
      </c>
      <c r="AH86" s="3">
        <v>13.046333333333335</v>
      </c>
      <c r="AI86" s="4">
        <f>Table39[[#This Row],[CNA Hours Contract]]/Table39[[#This Row],[CNA Hours]]</f>
        <v>0.19794597565313557</v>
      </c>
      <c r="AJ86" s="3">
        <v>0</v>
      </c>
      <c r="AK86" s="3">
        <v>0</v>
      </c>
      <c r="AL86" s="4">
        <v>0</v>
      </c>
      <c r="AM86" s="3">
        <v>0</v>
      </c>
      <c r="AN86" s="3">
        <v>0</v>
      </c>
      <c r="AO86" s="4">
        <v>0</v>
      </c>
      <c r="AP86" s="1" t="s">
        <v>84</v>
      </c>
      <c r="AQ86" s="1">
        <v>10</v>
      </c>
    </row>
    <row r="87" spans="1:43" x14ac:dyDescent="0.2">
      <c r="A87" s="1" t="s">
        <v>128</v>
      </c>
      <c r="B87" s="1" t="s">
        <v>214</v>
      </c>
      <c r="C87" s="1" t="s">
        <v>306</v>
      </c>
      <c r="D87" s="1" t="s">
        <v>322</v>
      </c>
      <c r="E87" s="3">
        <v>51.511111111111113</v>
      </c>
      <c r="F87" s="3">
        <f t="shared" si="5"/>
        <v>269.64999999999998</v>
      </c>
      <c r="G87" s="3">
        <f>SUM(Table39[[#This Row],[RN Hours Contract (W/ Admin, DON)]], Table39[[#This Row],[LPN Contract Hours (w/ Admin)]], Table39[[#This Row],[CNA/NA/Med Aide Contract Hours]])</f>
        <v>0</v>
      </c>
      <c r="H87" s="4">
        <f>Table39[[#This Row],[Total Contract Hours]]/Table39[[#This Row],[Total Hours Nurse Staffing]]</f>
        <v>0</v>
      </c>
      <c r="I87" s="3">
        <f>SUM(Table39[[#This Row],[RN Hours]], Table39[[#This Row],[RN Admin Hours]], Table39[[#This Row],[RN DON Hours]])</f>
        <v>40.62777777777778</v>
      </c>
      <c r="J87" s="3">
        <f t="shared" si="3"/>
        <v>0</v>
      </c>
      <c r="K87" s="4">
        <f>Table39[[#This Row],[RN Hours Contract (W/ Admin, DON)]]/Table39[[#This Row],[RN Hours (w/ Admin, DON)]]</f>
        <v>0</v>
      </c>
      <c r="L87" s="3">
        <v>29.194444444444443</v>
      </c>
      <c r="M87" s="3">
        <v>0</v>
      </c>
      <c r="N87" s="4">
        <f>Table39[[#This Row],[RN Hours Contract]]/Table39[[#This Row],[RN Hours]]</f>
        <v>0</v>
      </c>
      <c r="O87" s="3">
        <v>5.833333333333333</v>
      </c>
      <c r="P87" s="3">
        <v>0</v>
      </c>
      <c r="Q87" s="4">
        <f>Table39[[#This Row],[RN Admin Hours Contract]]/Table39[[#This Row],[RN Admin Hours]]</f>
        <v>0</v>
      </c>
      <c r="R87" s="3">
        <v>5.6</v>
      </c>
      <c r="S87" s="3">
        <v>0</v>
      </c>
      <c r="T87" s="4">
        <f>Table39[[#This Row],[RN DON Hours Contract]]/Table39[[#This Row],[RN DON Hours]]</f>
        <v>0</v>
      </c>
      <c r="U87" s="3">
        <f>SUM(Table39[[#This Row],[LPN Hours]], Table39[[#This Row],[LPN Admin Hours]])</f>
        <v>67.922222222222217</v>
      </c>
      <c r="V87" s="3">
        <f>Table39[[#This Row],[LPN Hours Contract]]+Table39[[#This Row],[LPN Admin Hours Contract]]</f>
        <v>0</v>
      </c>
      <c r="W87" s="4">
        <f t="shared" si="4"/>
        <v>0</v>
      </c>
      <c r="X87" s="3">
        <v>63.430555555555557</v>
      </c>
      <c r="Y87" s="3">
        <v>0</v>
      </c>
      <c r="Z87" s="4">
        <f>Table39[[#This Row],[LPN Hours Contract]]/Table39[[#This Row],[LPN Hours]]</f>
        <v>0</v>
      </c>
      <c r="AA87" s="3">
        <v>4.4916666666666663</v>
      </c>
      <c r="AB87" s="3">
        <v>0</v>
      </c>
      <c r="AC87" s="4">
        <f>Table39[[#This Row],[LPN Admin Hours Contract]]/Table39[[#This Row],[LPN Admin Hours]]</f>
        <v>0</v>
      </c>
      <c r="AD87" s="3">
        <f>SUM(Table39[[#This Row],[CNA Hours]], Table39[[#This Row],[NA in Training Hours]], Table39[[#This Row],[Med Aide/Tech Hours]])</f>
        <v>161.1</v>
      </c>
      <c r="AE87" s="3">
        <f>SUM(Table39[[#This Row],[CNA Hours Contract]], Table39[[#This Row],[NA in Training Hours Contract]], Table39[[#This Row],[Med Aide/Tech Hours Contract]])</f>
        <v>0</v>
      </c>
      <c r="AF87" s="4">
        <f>Table39[[#This Row],[CNA/NA/Med Aide Contract Hours]]/Table39[[#This Row],[Total CNA, NA in Training, Med Aide/Tech Hours]]</f>
        <v>0</v>
      </c>
      <c r="AG87" s="3">
        <v>152.80277777777778</v>
      </c>
      <c r="AH87" s="3">
        <v>0</v>
      </c>
      <c r="AI87" s="4">
        <f>Table39[[#This Row],[CNA Hours Contract]]/Table39[[#This Row],[CNA Hours]]</f>
        <v>0</v>
      </c>
      <c r="AJ87" s="3">
        <v>0</v>
      </c>
      <c r="AK87" s="3">
        <v>0</v>
      </c>
      <c r="AL87" s="4">
        <v>0</v>
      </c>
      <c r="AM87" s="3">
        <v>8.2972222222222225</v>
      </c>
      <c r="AN87" s="3">
        <v>0</v>
      </c>
      <c r="AO87" s="4">
        <f>Table39[[#This Row],[Med Aide/Tech Hours Contract]]/Table39[[#This Row],[Med Aide/Tech Hours]]</f>
        <v>0</v>
      </c>
      <c r="AP87" s="1" t="s">
        <v>85</v>
      </c>
      <c r="AQ87" s="1">
        <v>10</v>
      </c>
    </row>
    <row r="88" spans="1:43" x14ac:dyDescent="0.2">
      <c r="A88" s="1" t="s">
        <v>128</v>
      </c>
      <c r="B88" s="1" t="s">
        <v>215</v>
      </c>
      <c r="C88" s="1" t="s">
        <v>259</v>
      </c>
      <c r="D88" s="1" t="s">
        <v>322</v>
      </c>
      <c r="E88" s="3">
        <v>57.2</v>
      </c>
      <c r="F88" s="3">
        <f t="shared" si="5"/>
        <v>323.17777777777781</v>
      </c>
      <c r="G88" s="3">
        <f>SUM(Table39[[#This Row],[RN Hours Contract (W/ Admin, DON)]], Table39[[#This Row],[LPN Contract Hours (w/ Admin)]], Table39[[#This Row],[CNA/NA/Med Aide Contract Hours]])</f>
        <v>0</v>
      </c>
      <c r="H88" s="4">
        <f>Table39[[#This Row],[Total Contract Hours]]/Table39[[#This Row],[Total Hours Nurse Staffing]]</f>
        <v>0</v>
      </c>
      <c r="I88" s="3">
        <f>SUM(Table39[[#This Row],[RN Hours]], Table39[[#This Row],[RN Admin Hours]], Table39[[#This Row],[RN DON Hours]])</f>
        <v>37.544444444444444</v>
      </c>
      <c r="J88" s="3">
        <f t="shared" si="3"/>
        <v>0</v>
      </c>
      <c r="K88" s="4">
        <f>Table39[[#This Row],[RN Hours Contract (W/ Admin, DON)]]/Table39[[#This Row],[RN Hours (w/ Admin, DON)]]</f>
        <v>0</v>
      </c>
      <c r="L88" s="3">
        <v>22.380555555555556</v>
      </c>
      <c r="M88" s="3">
        <v>0</v>
      </c>
      <c r="N88" s="4">
        <f>Table39[[#This Row],[RN Hours Contract]]/Table39[[#This Row],[RN Hours]]</f>
        <v>0</v>
      </c>
      <c r="O88" s="3">
        <v>9.7416666666666671</v>
      </c>
      <c r="P88" s="3">
        <v>0</v>
      </c>
      <c r="Q88" s="4">
        <f>Table39[[#This Row],[RN Admin Hours Contract]]/Table39[[#This Row],[RN Admin Hours]]</f>
        <v>0</v>
      </c>
      <c r="R88" s="3">
        <v>5.4222222222222225</v>
      </c>
      <c r="S88" s="3">
        <v>0</v>
      </c>
      <c r="T88" s="4">
        <f>Table39[[#This Row],[RN DON Hours Contract]]/Table39[[#This Row],[RN DON Hours]]</f>
        <v>0</v>
      </c>
      <c r="U88" s="3">
        <f>SUM(Table39[[#This Row],[LPN Hours]], Table39[[#This Row],[LPN Admin Hours]])</f>
        <v>97.680555555555557</v>
      </c>
      <c r="V88" s="3">
        <f>Table39[[#This Row],[LPN Hours Contract]]+Table39[[#This Row],[LPN Admin Hours Contract]]</f>
        <v>0</v>
      </c>
      <c r="W88" s="4">
        <f t="shared" si="4"/>
        <v>0</v>
      </c>
      <c r="X88" s="3">
        <v>97.680555555555557</v>
      </c>
      <c r="Y88" s="3">
        <v>0</v>
      </c>
      <c r="Z88" s="4">
        <f>Table39[[#This Row],[LPN Hours Contract]]/Table39[[#This Row],[LPN Hours]]</f>
        <v>0</v>
      </c>
      <c r="AA88" s="3">
        <v>0</v>
      </c>
      <c r="AB88" s="3">
        <v>0</v>
      </c>
      <c r="AC88" s="4">
        <v>0</v>
      </c>
      <c r="AD88" s="3">
        <f>SUM(Table39[[#This Row],[CNA Hours]], Table39[[#This Row],[NA in Training Hours]], Table39[[#This Row],[Med Aide/Tech Hours]])</f>
        <v>187.95277777777778</v>
      </c>
      <c r="AE88" s="3">
        <f>SUM(Table39[[#This Row],[CNA Hours Contract]], Table39[[#This Row],[NA in Training Hours Contract]], Table39[[#This Row],[Med Aide/Tech Hours Contract]])</f>
        <v>0</v>
      </c>
      <c r="AF88" s="4">
        <f>Table39[[#This Row],[CNA/NA/Med Aide Contract Hours]]/Table39[[#This Row],[Total CNA, NA in Training, Med Aide/Tech Hours]]</f>
        <v>0</v>
      </c>
      <c r="AG88" s="3">
        <v>155.36111111111111</v>
      </c>
      <c r="AH88" s="3">
        <v>0</v>
      </c>
      <c r="AI88" s="4">
        <f>Table39[[#This Row],[CNA Hours Contract]]/Table39[[#This Row],[CNA Hours]]</f>
        <v>0</v>
      </c>
      <c r="AJ88" s="3">
        <v>3.9972222222222222</v>
      </c>
      <c r="AK88" s="3">
        <v>0</v>
      </c>
      <c r="AL88" s="4">
        <f>Table39[[#This Row],[NA in Training Hours Contract]]/Table39[[#This Row],[NA in Training Hours]]</f>
        <v>0</v>
      </c>
      <c r="AM88" s="3">
        <v>28.594444444444445</v>
      </c>
      <c r="AN88" s="3">
        <v>0</v>
      </c>
      <c r="AO88" s="4">
        <f>Table39[[#This Row],[Med Aide/Tech Hours Contract]]/Table39[[#This Row],[Med Aide/Tech Hours]]</f>
        <v>0</v>
      </c>
      <c r="AP88" s="1" t="s">
        <v>86</v>
      </c>
      <c r="AQ88" s="1">
        <v>10</v>
      </c>
    </row>
    <row r="89" spans="1:43" x14ac:dyDescent="0.2">
      <c r="A89" s="1" t="s">
        <v>128</v>
      </c>
      <c r="B89" s="1" t="s">
        <v>216</v>
      </c>
      <c r="C89" s="1" t="s">
        <v>263</v>
      </c>
      <c r="D89" s="1" t="s">
        <v>334</v>
      </c>
      <c r="E89" s="3">
        <v>35.388888888888886</v>
      </c>
      <c r="F89" s="3">
        <f t="shared" si="5"/>
        <v>141.6888888888889</v>
      </c>
      <c r="G89" s="3">
        <f>SUM(Table39[[#This Row],[RN Hours Contract (W/ Admin, DON)]], Table39[[#This Row],[LPN Contract Hours (w/ Admin)]], Table39[[#This Row],[CNA/NA/Med Aide Contract Hours]])</f>
        <v>27.696666666666673</v>
      </c>
      <c r="H89" s="4">
        <f>Table39[[#This Row],[Total Contract Hours]]/Table39[[#This Row],[Total Hours Nurse Staffing]]</f>
        <v>0.19547521957340028</v>
      </c>
      <c r="I89" s="3">
        <f>SUM(Table39[[#This Row],[RN Hours]], Table39[[#This Row],[RN Admin Hours]], Table39[[#This Row],[RN DON Hours]])</f>
        <v>28.389222222222216</v>
      </c>
      <c r="J89" s="3">
        <f t="shared" si="3"/>
        <v>2.7843333333333331</v>
      </c>
      <c r="K89" s="4">
        <f>Table39[[#This Row],[RN Hours Contract (W/ Admin, DON)]]/Table39[[#This Row],[RN Hours (w/ Admin, DON)]]</f>
        <v>9.8077126295973052E-2</v>
      </c>
      <c r="L89" s="3">
        <v>16.946666666666665</v>
      </c>
      <c r="M89" s="3">
        <v>2.7843333333333331</v>
      </c>
      <c r="N89" s="4">
        <f>Table39[[#This Row],[RN Hours Contract]]/Table39[[#This Row],[RN Hours]]</f>
        <v>0.1642997639653816</v>
      </c>
      <c r="O89" s="3">
        <v>5.9314444444444421</v>
      </c>
      <c r="P89" s="3">
        <v>0</v>
      </c>
      <c r="Q89" s="4">
        <f>Table39[[#This Row],[RN Admin Hours Contract]]/Table39[[#This Row],[RN Admin Hours]]</f>
        <v>0</v>
      </c>
      <c r="R89" s="3">
        <v>5.5111111111111111</v>
      </c>
      <c r="S89" s="3">
        <v>0</v>
      </c>
      <c r="T89" s="4">
        <f>Table39[[#This Row],[RN DON Hours Contract]]/Table39[[#This Row],[RN DON Hours]]</f>
        <v>0</v>
      </c>
      <c r="U89" s="3">
        <f>SUM(Table39[[#This Row],[LPN Hours]], Table39[[#This Row],[LPN Admin Hours]])</f>
        <v>20.980444444444444</v>
      </c>
      <c r="V89" s="3">
        <f>Table39[[#This Row],[LPN Hours Contract]]+Table39[[#This Row],[LPN Admin Hours Contract]]</f>
        <v>1.990777777777778</v>
      </c>
      <c r="W89" s="4">
        <f t="shared" si="4"/>
        <v>9.4887302461551512E-2</v>
      </c>
      <c r="X89" s="3">
        <v>20.980444444444444</v>
      </c>
      <c r="Y89" s="3">
        <v>1.990777777777778</v>
      </c>
      <c r="Z89" s="4">
        <f>Table39[[#This Row],[LPN Hours Contract]]/Table39[[#This Row],[LPN Hours]]</f>
        <v>9.4887302461551512E-2</v>
      </c>
      <c r="AA89" s="3">
        <v>0</v>
      </c>
      <c r="AB89" s="3">
        <v>0</v>
      </c>
      <c r="AC89" s="4">
        <v>0</v>
      </c>
      <c r="AD89" s="3">
        <f>SUM(Table39[[#This Row],[CNA Hours]], Table39[[#This Row],[NA in Training Hours]], Table39[[#This Row],[Med Aide/Tech Hours]])</f>
        <v>92.319222222222237</v>
      </c>
      <c r="AE89" s="3">
        <f>SUM(Table39[[#This Row],[CNA Hours Contract]], Table39[[#This Row],[NA in Training Hours Contract]], Table39[[#This Row],[Med Aide/Tech Hours Contract]])</f>
        <v>22.92155555555556</v>
      </c>
      <c r="AF89" s="4">
        <f>Table39[[#This Row],[CNA/NA/Med Aide Contract Hours]]/Table39[[#This Row],[Total CNA, NA in Training, Med Aide/Tech Hours]]</f>
        <v>0.24828583911139249</v>
      </c>
      <c r="AG89" s="3">
        <v>69.403222222222226</v>
      </c>
      <c r="AH89" s="3">
        <v>22.827111111111115</v>
      </c>
      <c r="AI89" s="4">
        <f>Table39[[#This Row],[CNA Hours Contract]]/Table39[[#This Row],[CNA Hours]]</f>
        <v>0.32890563838694653</v>
      </c>
      <c r="AJ89" s="3">
        <v>0</v>
      </c>
      <c r="AK89" s="3">
        <v>0</v>
      </c>
      <c r="AL89" s="4">
        <v>0</v>
      </c>
      <c r="AM89" s="3">
        <v>22.916000000000011</v>
      </c>
      <c r="AN89" s="3">
        <v>9.4444444444444442E-2</v>
      </c>
      <c r="AO89" s="4">
        <f>Table39[[#This Row],[Med Aide/Tech Hours Contract]]/Table39[[#This Row],[Med Aide/Tech Hours]]</f>
        <v>4.1213320145070866E-3</v>
      </c>
      <c r="AP89" s="1" t="s">
        <v>87</v>
      </c>
      <c r="AQ89" s="1">
        <v>10</v>
      </c>
    </row>
    <row r="90" spans="1:43" x14ac:dyDescent="0.2">
      <c r="A90" s="1" t="s">
        <v>128</v>
      </c>
      <c r="B90" s="1" t="s">
        <v>217</v>
      </c>
      <c r="C90" s="1" t="s">
        <v>293</v>
      </c>
      <c r="D90" s="1" t="s">
        <v>332</v>
      </c>
      <c r="E90" s="3">
        <v>39.233333333333334</v>
      </c>
      <c r="F90" s="3">
        <f t="shared" si="5"/>
        <v>176.07777777777778</v>
      </c>
      <c r="G90" s="3">
        <f>SUM(Table39[[#This Row],[RN Hours Contract (W/ Admin, DON)]], Table39[[#This Row],[LPN Contract Hours (w/ Admin)]], Table39[[#This Row],[CNA/NA/Med Aide Contract Hours]])</f>
        <v>34.949999999999996</v>
      </c>
      <c r="H90" s="4">
        <f>Table39[[#This Row],[Total Contract Hours]]/Table39[[#This Row],[Total Hours Nurse Staffing]]</f>
        <v>0.19849182810626614</v>
      </c>
      <c r="I90" s="3">
        <f>SUM(Table39[[#This Row],[RN Hours]], Table39[[#This Row],[RN Admin Hours]], Table39[[#This Row],[RN DON Hours]])</f>
        <v>24.361111111111111</v>
      </c>
      <c r="J90" s="3">
        <f t="shared" si="3"/>
        <v>0</v>
      </c>
      <c r="K90" s="4">
        <f>Table39[[#This Row],[RN Hours Contract (W/ Admin, DON)]]/Table39[[#This Row],[RN Hours (w/ Admin, DON)]]</f>
        <v>0</v>
      </c>
      <c r="L90" s="3">
        <v>10.361111111111111</v>
      </c>
      <c r="M90" s="3">
        <v>0</v>
      </c>
      <c r="N90" s="4">
        <f>Table39[[#This Row],[RN Hours Contract]]/Table39[[#This Row],[RN Hours]]</f>
        <v>0</v>
      </c>
      <c r="O90" s="3">
        <v>10.666666666666666</v>
      </c>
      <c r="P90" s="3">
        <v>0</v>
      </c>
      <c r="Q90" s="4">
        <f>Table39[[#This Row],[RN Admin Hours Contract]]/Table39[[#This Row],[RN Admin Hours]]</f>
        <v>0</v>
      </c>
      <c r="R90" s="3">
        <v>3.3333333333333335</v>
      </c>
      <c r="S90" s="3">
        <v>0</v>
      </c>
      <c r="T90" s="4">
        <f>Table39[[#This Row],[RN DON Hours Contract]]/Table39[[#This Row],[RN DON Hours]]</f>
        <v>0</v>
      </c>
      <c r="U90" s="3">
        <f>SUM(Table39[[#This Row],[LPN Hours]], Table39[[#This Row],[LPN Admin Hours]])</f>
        <v>28.56388888888889</v>
      </c>
      <c r="V90" s="3">
        <f>Table39[[#This Row],[LPN Hours Contract]]+Table39[[#This Row],[LPN Admin Hours Contract]]</f>
        <v>0.53333333333333333</v>
      </c>
      <c r="W90" s="4">
        <f t="shared" si="4"/>
        <v>1.8671593892832829E-2</v>
      </c>
      <c r="X90" s="3">
        <v>28.56388888888889</v>
      </c>
      <c r="Y90" s="3">
        <v>0.53333333333333333</v>
      </c>
      <c r="Z90" s="4">
        <f>Table39[[#This Row],[LPN Hours Contract]]/Table39[[#This Row],[LPN Hours]]</f>
        <v>1.8671593892832829E-2</v>
      </c>
      <c r="AA90" s="3">
        <v>0</v>
      </c>
      <c r="AB90" s="3">
        <v>0</v>
      </c>
      <c r="AC90" s="4">
        <v>0</v>
      </c>
      <c r="AD90" s="3">
        <f>SUM(Table39[[#This Row],[CNA Hours]], Table39[[#This Row],[NA in Training Hours]], Table39[[#This Row],[Med Aide/Tech Hours]])</f>
        <v>123.15277777777777</v>
      </c>
      <c r="AE90" s="3">
        <f>SUM(Table39[[#This Row],[CNA Hours Contract]], Table39[[#This Row],[NA in Training Hours Contract]], Table39[[#This Row],[Med Aide/Tech Hours Contract]])</f>
        <v>34.416666666666664</v>
      </c>
      <c r="AF90" s="4">
        <f>Table39[[#This Row],[CNA/NA/Med Aide Contract Hours]]/Table39[[#This Row],[Total CNA, NA in Training, Med Aide/Tech Hours]]</f>
        <v>0.27946317807601218</v>
      </c>
      <c r="AG90" s="3">
        <v>111.04722222222222</v>
      </c>
      <c r="AH90" s="3">
        <v>34.416666666666664</v>
      </c>
      <c r="AI90" s="4">
        <f>Table39[[#This Row],[CNA Hours Contract]]/Table39[[#This Row],[CNA Hours]]</f>
        <v>0.30992820872001398</v>
      </c>
      <c r="AJ90" s="3">
        <v>0</v>
      </c>
      <c r="AK90" s="3">
        <v>0</v>
      </c>
      <c r="AL90" s="4">
        <v>0</v>
      </c>
      <c r="AM90" s="3">
        <v>12.105555555555556</v>
      </c>
      <c r="AN90" s="3">
        <v>0</v>
      </c>
      <c r="AO90" s="4">
        <f>Table39[[#This Row],[Med Aide/Tech Hours Contract]]/Table39[[#This Row],[Med Aide/Tech Hours]]</f>
        <v>0</v>
      </c>
      <c r="AP90" s="1" t="s">
        <v>88</v>
      </c>
      <c r="AQ90" s="1">
        <v>10</v>
      </c>
    </row>
    <row r="91" spans="1:43" x14ac:dyDescent="0.2">
      <c r="A91" s="1" t="s">
        <v>128</v>
      </c>
      <c r="B91" s="1" t="s">
        <v>218</v>
      </c>
      <c r="C91" s="1" t="s">
        <v>307</v>
      </c>
      <c r="D91" s="1" t="s">
        <v>322</v>
      </c>
      <c r="E91" s="3">
        <v>54.111111111111114</v>
      </c>
      <c r="F91" s="3">
        <f t="shared" si="5"/>
        <v>298.18333333333328</v>
      </c>
      <c r="G91" s="3">
        <f>SUM(Table39[[#This Row],[RN Hours Contract (W/ Admin, DON)]], Table39[[#This Row],[LPN Contract Hours (w/ Admin)]], Table39[[#This Row],[CNA/NA/Med Aide Contract Hours]])</f>
        <v>18.513888888888886</v>
      </c>
      <c r="H91" s="4">
        <f>Table39[[#This Row],[Total Contract Hours]]/Table39[[#This Row],[Total Hours Nurse Staffing]]</f>
        <v>6.2088946025003262E-2</v>
      </c>
      <c r="I91" s="3">
        <f>SUM(Table39[[#This Row],[RN Hours]], Table39[[#This Row],[RN Admin Hours]], Table39[[#This Row],[RN DON Hours]])</f>
        <v>21.830555555555552</v>
      </c>
      <c r="J91" s="3">
        <f t="shared" si="3"/>
        <v>2.088888888888889</v>
      </c>
      <c r="K91" s="4">
        <f>Table39[[#This Row],[RN Hours Contract (W/ Admin, DON)]]/Table39[[#This Row],[RN Hours (w/ Admin, DON)]]</f>
        <v>9.5686474106120398E-2</v>
      </c>
      <c r="L91" s="3">
        <v>9.1666666666666661</v>
      </c>
      <c r="M91" s="3">
        <v>2.088888888888889</v>
      </c>
      <c r="N91" s="4">
        <f>Table39[[#This Row],[RN Hours Contract]]/Table39[[#This Row],[RN Hours]]</f>
        <v>0.2278787878787879</v>
      </c>
      <c r="O91" s="3">
        <v>7.4194444444444443</v>
      </c>
      <c r="P91" s="3">
        <v>0</v>
      </c>
      <c r="Q91" s="4">
        <f>Table39[[#This Row],[RN Admin Hours Contract]]/Table39[[#This Row],[RN Admin Hours]]</f>
        <v>0</v>
      </c>
      <c r="R91" s="3">
        <v>5.2444444444444445</v>
      </c>
      <c r="S91" s="3">
        <v>0</v>
      </c>
      <c r="T91" s="4">
        <f>Table39[[#This Row],[RN DON Hours Contract]]/Table39[[#This Row],[RN DON Hours]]</f>
        <v>0</v>
      </c>
      <c r="U91" s="3">
        <f>SUM(Table39[[#This Row],[LPN Hours]], Table39[[#This Row],[LPN Admin Hours]])</f>
        <v>83.413888888888891</v>
      </c>
      <c r="V91" s="3">
        <f>Table39[[#This Row],[LPN Hours Contract]]+Table39[[#This Row],[LPN Admin Hours Contract]]</f>
        <v>4.8722222222222218</v>
      </c>
      <c r="W91" s="4">
        <f t="shared" si="4"/>
        <v>5.8410203469979015E-2</v>
      </c>
      <c r="X91" s="3">
        <v>74.041666666666671</v>
      </c>
      <c r="Y91" s="3">
        <v>4.8722222222222218</v>
      </c>
      <c r="Z91" s="4">
        <f>Table39[[#This Row],[LPN Hours Contract]]/Table39[[#This Row],[LPN Hours]]</f>
        <v>6.5803789157756504E-2</v>
      </c>
      <c r="AA91" s="3">
        <v>9.3722222222222218</v>
      </c>
      <c r="AB91" s="3">
        <v>0</v>
      </c>
      <c r="AC91" s="4">
        <f>Table39[[#This Row],[LPN Admin Hours Contract]]/Table39[[#This Row],[LPN Admin Hours]]</f>
        <v>0</v>
      </c>
      <c r="AD91" s="3">
        <f>SUM(Table39[[#This Row],[CNA Hours]], Table39[[#This Row],[NA in Training Hours]], Table39[[#This Row],[Med Aide/Tech Hours]])</f>
        <v>192.93888888888887</v>
      </c>
      <c r="AE91" s="3">
        <f>SUM(Table39[[#This Row],[CNA Hours Contract]], Table39[[#This Row],[NA in Training Hours Contract]], Table39[[#This Row],[Med Aide/Tech Hours Contract]])</f>
        <v>11.552777777777777</v>
      </c>
      <c r="AF91" s="4">
        <f>Table39[[#This Row],[CNA/NA/Med Aide Contract Hours]]/Table39[[#This Row],[Total CNA, NA in Training, Med Aide/Tech Hours]]</f>
        <v>5.9877911831610474E-2</v>
      </c>
      <c r="AG91" s="3">
        <v>154.43055555555554</v>
      </c>
      <c r="AH91" s="3">
        <v>11.552777777777777</v>
      </c>
      <c r="AI91" s="4">
        <f>Table39[[#This Row],[CNA Hours Contract]]/Table39[[#This Row],[CNA Hours]]</f>
        <v>7.4808885691159274E-2</v>
      </c>
      <c r="AJ91" s="3">
        <v>32.461111111111109</v>
      </c>
      <c r="AK91" s="3">
        <v>0</v>
      </c>
      <c r="AL91" s="4">
        <f>Table39[[#This Row],[NA in Training Hours Contract]]/Table39[[#This Row],[NA in Training Hours]]</f>
        <v>0</v>
      </c>
      <c r="AM91" s="3">
        <v>6.0472222222222225</v>
      </c>
      <c r="AN91" s="3">
        <v>0</v>
      </c>
      <c r="AO91" s="4">
        <f>Table39[[#This Row],[Med Aide/Tech Hours Contract]]/Table39[[#This Row],[Med Aide/Tech Hours]]</f>
        <v>0</v>
      </c>
      <c r="AP91" s="1" t="s">
        <v>89</v>
      </c>
      <c r="AQ91" s="1">
        <v>10</v>
      </c>
    </row>
    <row r="92" spans="1:43" x14ac:dyDescent="0.2">
      <c r="A92" s="1" t="s">
        <v>128</v>
      </c>
      <c r="B92" s="1" t="s">
        <v>219</v>
      </c>
      <c r="C92" s="1" t="s">
        <v>306</v>
      </c>
      <c r="D92" s="1" t="s">
        <v>322</v>
      </c>
      <c r="E92" s="3">
        <v>39.799999999999997</v>
      </c>
      <c r="F92" s="3">
        <f t="shared" si="5"/>
        <v>190.74833333333333</v>
      </c>
      <c r="G92" s="3">
        <f>SUM(Table39[[#This Row],[RN Hours Contract (W/ Admin, DON)]], Table39[[#This Row],[LPN Contract Hours (w/ Admin)]], Table39[[#This Row],[CNA/NA/Med Aide Contract Hours]])</f>
        <v>19.25</v>
      </c>
      <c r="H92" s="4">
        <f>Table39[[#This Row],[Total Contract Hours]]/Table39[[#This Row],[Total Hours Nurse Staffing]]</f>
        <v>0.10091831296035789</v>
      </c>
      <c r="I92" s="3">
        <f>SUM(Table39[[#This Row],[RN Hours]], Table39[[#This Row],[RN Admin Hours]], Table39[[#This Row],[RN DON Hours]])</f>
        <v>25.998222222222225</v>
      </c>
      <c r="J92" s="3">
        <f t="shared" si="3"/>
        <v>0</v>
      </c>
      <c r="K92" s="4">
        <f>Table39[[#This Row],[RN Hours Contract (W/ Admin, DON)]]/Table39[[#This Row],[RN Hours (w/ Admin, DON)]]</f>
        <v>0</v>
      </c>
      <c r="L92" s="3">
        <v>20.576000000000001</v>
      </c>
      <c r="M92" s="3">
        <v>0</v>
      </c>
      <c r="N92" s="4">
        <f>Table39[[#This Row],[RN Hours Contract]]/Table39[[#This Row],[RN Hours]]</f>
        <v>0</v>
      </c>
      <c r="O92" s="3">
        <v>0</v>
      </c>
      <c r="P92" s="3">
        <v>0</v>
      </c>
      <c r="Q92" s="4">
        <v>0</v>
      </c>
      <c r="R92" s="3">
        <v>5.4222222222222225</v>
      </c>
      <c r="S92" s="3">
        <v>0</v>
      </c>
      <c r="T92" s="4">
        <f>Table39[[#This Row],[RN DON Hours Contract]]/Table39[[#This Row],[RN DON Hours]]</f>
        <v>0</v>
      </c>
      <c r="U92" s="3">
        <f>SUM(Table39[[#This Row],[LPN Hours]], Table39[[#This Row],[LPN Admin Hours]])</f>
        <v>40.072111111111106</v>
      </c>
      <c r="V92" s="3">
        <f>Table39[[#This Row],[LPN Hours Contract]]+Table39[[#This Row],[LPN Admin Hours Contract]]</f>
        <v>0</v>
      </c>
      <c r="W92" s="4">
        <f t="shared" si="4"/>
        <v>0</v>
      </c>
      <c r="X92" s="3">
        <v>40.072111111111106</v>
      </c>
      <c r="Y92" s="3">
        <v>0</v>
      </c>
      <c r="Z92" s="4">
        <f>Table39[[#This Row],[LPN Hours Contract]]/Table39[[#This Row],[LPN Hours]]</f>
        <v>0</v>
      </c>
      <c r="AA92" s="3">
        <v>0</v>
      </c>
      <c r="AB92" s="3">
        <v>0</v>
      </c>
      <c r="AC92" s="4">
        <v>0</v>
      </c>
      <c r="AD92" s="3">
        <f>SUM(Table39[[#This Row],[CNA Hours]], Table39[[#This Row],[NA in Training Hours]], Table39[[#This Row],[Med Aide/Tech Hours]])</f>
        <v>124.67800000000001</v>
      </c>
      <c r="AE92" s="3">
        <f>SUM(Table39[[#This Row],[CNA Hours Contract]], Table39[[#This Row],[NA in Training Hours Contract]], Table39[[#This Row],[Med Aide/Tech Hours Contract]])</f>
        <v>19.25</v>
      </c>
      <c r="AF92" s="4">
        <f>Table39[[#This Row],[CNA/NA/Med Aide Contract Hours]]/Table39[[#This Row],[Total CNA, NA in Training, Med Aide/Tech Hours]]</f>
        <v>0.15439772854874154</v>
      </c>
      <c r="AG92" s="3">
        <v>112.706</v>
      </c>
      <c r="AH92" s="3">
        <v>19.25</v>
      </c>
      <c r="AI92" s="4">
        <f>Table39[[#This Row],[CNA Hours Contract]]/Table39[[#This Row],[CNA Hours]]</f>
        <v>0.17079836033574078</v>
      </c>
      <c r="AJ92" s="3">
        <v>0</v>
      </c>
      <c r="AK92" s="3">
        <v>0</v>
      </c>
      <c r="AL92" s="4">
        <v>0</v>
      </c>
      <c r="AM92" s="3">
        <v>11.972000000000003</v>
      </c>
      <c r="AN92" s="3">
        <v>0</v>
      </c>
      <c r="AO92" s="4">
        <f>Table39[[#This Row],[Med Aide/Tech Hours Contract]]/Table39[[#This Row],[Med Aide/Tech Hours]]</f>
        <v>0</v>
      </c>
      <c r="AP92" s="1" t="s">
        <v>90</v>
      </c>
      <c r="AQ92" s="1">
        <v>10</v>
      </c>
    </row>
    <row r="93" spans="1:43" x14ac:dyDescent="0.2">
      <c r="A93" s="1" t="s">
        <v>128</v>
      </c>
      <c r="B93" s="1" t="s">
        <v>220</v>
      </c>
      <c r="C93" s="1" t="s">
        <v>308</v>
      </c>
      <c r="D93" s="1" t="s">
        <v>345</v>
      </c>
      <c r="E93" s="3">
        <v>27.122222222222224</v>
      </c>
      <c r="F93" s="3">
        <f t="shared" si="5"/>
        <v>126.187</v>
      </c>
      <c r="G93" s="3">
        <f>SUM(Table39[[#This Row],[RN Hours Contract (W/ Admin, DON)]], Table39[[#This Row],[LPN Contract Hours (w/ Admin)]], Table39[[#This Row],[CNA/NA/Med Aide Contract Hours]])</f>
        <v>19.320333333333334</v>
      </c>
      <c r="H93" s="4">
        <f>Table39[[#This Row],[Total Contract Hours]]/Table39[[#This Row],[Total Hours Nurse Staffing]]</f>
        <v>0.15310874601451285</v>
      </c>
      <c r="I93" s="3">
        <f>SUM(Table39[[#This Row],[RN Hours]], Table39[[#This Row],[RN Admin Hours]], Table39[[#This Row],[RN DON Hours]])</f>
        <v>20.986111111111111</v>
      </c>
      <c r="J93" s="3">
        <f t="shared" si="3"/>
        <v>0.26666666666666666</v>
      </c>
      <c r="K93" s="4">
        <f>Table39[[#This Row],[RN Hours Contract (W/ Admin, DON)]]/Table39[[#This Row],[RN Hours (w/ Admin, DON)]]</f>
        <v>1.2706816677696889E-2</v>
      </c>
      <c r="L93" s="3">
        <v>15.297222222222222</v>
      </c>
      <c r="M93" s="3">
        <v>0.26666666666666666</v>
      </c>
      <c r="N93" s="4">
        <f>Table39[[#This Row],[RN Hours Contract]]/Table39[[#This Row],[RN Hours]]</f>
        <v>1.7432358816052297E-2</v>
      </c>
      <c r="O93" s="3">
        <v>0</v>
      </c>
      <c r="P93" s="3">
        <v>0</v>
      </c>
      <c r="Q93" s="4">
        <v>0</v>
      </c>
      <c r="R93" s="3">
        <v>5.6888888888888891</v>
      </c>
      <c r="S93" s="3">
        <v>0</v>
      </c>
      <c r="T93" s="4">
        <f>Table39[[#This Row],[RN DON Hours Contract]]/Table39[[#This Row],[RN DON Hours]]</f>
        <v>0</v>
      </c>
      <c r="U93" s="3">
        <f>SUM(Table39[[#This Row],[LPN Hours]], Table39[[#This Row],[LPN Admin Hours]])</f>
        <v>5.5666666666666664</v>
      </c>
      <c r="V93" s="3">
        <f>Table39[[#This Row],[LPN Hours Contract]]+Table39[[#This Row],[LPN Admin Hours Contract]]</f>
        <v>2.9833333333333334</v>
      </c>
      <c r="W93" s="4">
        <f t="shared" si="4"/>
        <v>0.53592814371257491</v>
      </c>
      <c r="X93" s="3">
        <v>5.5666666666666664</v>
      </c>
      <c r="Y93" s="3">
        <v>2.9833333333333334</v>
      </c>
      <c r="Z93" s="4">
        <f>Table39[[#This Row],[LPN Hours Contract]]/Table39[[#This Row],[LPN Hours]]</f>
        <v>0.53592814371257491</v>
      </c>
      <c r="AA93" s="3">
        <v>0</v>
      </c>
      <c r="AB93" s="3">
        <v>0</v>
      </c>
      <c r="AC93" s="4">
        <v>0</v>
      </c>
      <c r="AD93" s="3">
        <f>SUM(Table39[[#This Row],[CNA Hours]], Table39[[#This Row],[NA in Training Hours]], Table39[[#This Row],[Med Aide/Tech Hours]])</f>
        <v>99.63422222222222</v>
      </c>
      <c r="AE93" s="3">
        <f>SUM(Table39[[#This Row],[CNA Hours Contract]], Table39[[#This Row],[NA in Training Hours Contract]], Table39[[#This Row],[Med Aide/Tech Hours Contract]])</f>
        <v>16.070333333333334</v>
      </c>
      <c r="AF93" s="4">
        <f>Table39[[#This Row],[CNA/NA/Med Aide Contract Hours]]/Table39[[#This Row],[Total CNA, NA in Training, Med Aide/Tech Hours]]</f>
        <v>0.16129330841254902</v>
      </c>
      <c r="AG93" s="3">
        <v>66.050888888888892</v>
      </c>
      <c r="AH93" s="3">
        <v>16.070333333333334</v>
      </c>
      <c r="AI93" s="4">
        <f>Table39[[#This Row],[CNA Hours Contract]]/Table39[[#This Row],[CNA Hours]]</f>
        <v>0.24330230226525676</v>
      </c>
      <c r="AJ93" s="3">
        <v>23.905555555555555</v>
      </c>
      <c r="AK93" s="3">
        <v>0</v>
      </c>
      <c r="AL93" s="4">
        <f>Table39[[#This Row],[NA in Training Hours Contract]]/Table39[[#This Row],[NA in Training Hours]]</f>
        <v>0</v>
      </c>
      <c r="AM93" s="3">
        <v>9.6777777777777771</v>
      </c>
      <c r="AN93" s="3">
        <v>0</v>
      </c>
      <c r="AO93" s="4">
        <f>Table39[[#This Row],[Med Aide/Tech Hours Contract]]/Table39[[#This Row],[Med Aide/Tech Hours]]</f>
        <v>0</v>
      </c>
      <c r="AP93" s="1" t="s">
        <v>91</v>
      </c>
      <c r="AQ93" s="1">
        <v>10</v>
      </c>
    </row>
    <row r="94" spans="1:43" x14ac:dyDescent="0.2">
      <c r="A94" s="1" t="s">
        <v>128</v>
      </c>
      <c r="B94" s="1" t="s">
        <v>221</v>
      </c>
      <c r="C94" s="1" t="s">
        <v>286</v>
      </c>
      <c r="D94" s="1" t="s">
        <v>339</v>
      </c>
      <c r="E94" s="3">
        <v>31.488888888888887</v>
      </c>
      <c r="F94" s="3">
        <f t="shared" si="5"/>
        <v>146.63866666666667</v>
      </c>
      <c r="G94" s="3">
        <f>SUM(Table39[[#This Row],[RN Hours Contract (W/ Admin, DON)]], Table39[[#This Row],[LPN Contract Hours (w/ Admin)]], Table39[[#This Row],[CNA/NA/Med Aide Contract Hours]])</f>
        <v>0</v>
      </c>
      <c r="H94" s="4">
        <f>Table39[[#This Row],[Total Contract Hours]]/Table39[[#This Row],[Total Hours Nurse Staffing]]</f>
        <v>0</v>
      </c>
      <c r="I94" s="3">
        <f>SUM(Table39[[#This Row],[RN Hours]], Table39[[#This Row],[RN Admin Hours]], Table39[[#This Row],[RN DON Hours]])</f>
        <v>21.732222222222227</v>
      </c>
      <c r="J94" s="3">
        <f t="shared" si="3"/>
        <v>0</v>
      </c>
      <c r="K94" s="4">
        <f>Table39[[#This Row],[RN Hours Contract (W/ Admin, DON)]]/Table39[[#This Row],[RN Hours (w/ Admin, DON)]]</f>
        <v>0</v>
      </c>
      <c r="L94" s="3">
        <v>9.4260000000000002</v>
      </c>
      <c r="M94" s="3">
        <v>0</v>
      </c>
      <c r="N94" s="4">
        <f>Table39[[#This Row],[RN Hours Contract]]/Table39[[#This Row],[RN Hours]]</f>
        <v>0</v>
      </c>
      <c r="O94" s="3">
        <v>6.6895555555555575</v>
      </c>
      <c r="P94" s="3">
        <v>0</v>
      </c>
      <c r="Q94" s="4">
        <f>Table39[[#This Row],[RN Admin Hours Contract]]/Table39[[#This Row],[RN Admin Hours]]</f>
        <v>0</v>
      </c>
      <c r="R94" s="3">
        <v>5.6166666666666663</v>
      </c>
      <c r="S94" s="3">
        <v>0</v>
      </c>
      <c r="T94" s="4">
        <f>Table39[[#This Row],[RN DON Hours Contract]]/Table39[[#This Row],[RN DON Hours]]</f>
        <v>0</v>
      </c>
      <c r="U94" s="3">
        <f>SUM(Table39[[#This Row],[LPN Hours]], Table39[[#This Row],[LPN Admin Hours]])</f>
        <v>38.87855555555555</v>
      </c>
      <c r="V94" s="3">
        <f>Table39[[#This Row],[LPN Hours Contract]]+Table39[[#This Row],[LPN Admin Hours Contract]]</f>
        <v>0</v>
      </c>
      <c r="W94" s="4">
        <f t="shared" si="4"/>
        <v>0</v>
      </c>
      <c r="X94" s="3">
        <v>30.980222222222221</v>
      </c>
      <c r="Y94" s="3">
        <v>0</v>
      </c>
      <c r="Z94" s="4">
        <f>Table39[[#This Row],[LPN Hours Contract]]/Table39[[#This Row],[LPN Hours]]</f>
        <v>0</v>
      </c>
      <c r="AA94" s="3">
        <v>7.8983333333333334</v>
      </c>
      <c r="AB94" s="3">
        <v>0</v>
      </c>
      <c r="AC94" s="4">
        <f>Table39[[#This Row],[LPN Admin Hours Contract]]/Table39[[#This Row],[LPN Admin Hours]]</f>
        <v>0</v>
      </c>
      <c r="AD94" s="3">
        <f>SUM(Table39[[#This Row],[CNA Hours]], Table39[[#This Row],[NA in Training Hours]], Table39[[#This Row],[Med Aide/Tech Hours]])</f>
        <v>86.027888888888882</v>
      </c>
      <c r="AE94" s="3">
        <f>SUM(Table39[[#This Row],[CNA Hours Contract]], Table39[[#This Row],[NA in Training Hours Contract]], Table39[[#This Row],[Med Aide/Tech Hours Contract]])</f>
        <v>0</v>
      </c>
      <c r="AF94" s="4">
        <f>Table39[[#This Row],[CNA/NA/Med Aide Contract Hours]]/Table39[[#This Row],[Total CNA, NA in Training, Med Aide/Tech Hours]]</f>
        <v>0</v>
      </c>
      <c r="AG94" s="3">
        <v>85.266777777777776</v>
      </c>
      <c r="AH94" s="3">
        <v>0</v>
      </c>
      <c r="AI94" s="4">
        <f>Table39[[#This Row],[CNA Hours Contract]]/Table39[[#This Row],[CNA Hours]]</f>
        <v>0</v>
      </c>
      <c r="AJ94" s="3">
        <v>0.76111111111111107</v>
      </c>
      <c r="AK94" s="3">
        <v>0</v>
      </c>
      <c r="AL94" s="4">
        <f>Table39[[#This Row],[NA in Training Hours Contract]]/Table39[[#This Row],[NA in Training Hours]]</f>
        <v>0</v>
      </c>
      <c r="AM94" s="3">
        <v>0</v>
      </c>
      <c r="AN94" s="3">
        <v>0</v>
      </c>
      <c r="AO94" s="4">
        <v>0</v>
      </c>
      <c r="AP94" s="1" t="s">
        <v>92</v>
      </c>
      <c r="AQ94" s="1">
        <v>10</v>
      </c>
    </row>
    <row r="95" spans="1:43" x14ac:dyDescent="0.2">
      <c r="A95" s="1" t="s">
        <v>128</v>
      </c>
      <c r="B95" s="1" t="s">
        <v>222</v>
      </c>
      <c r="C95" s="1" t="s">
        <v>273</v>
      </c>
      <c r="D95" s="1" t="s">
        <v>319</v>
      </c>
      <c r="E95" s="3">
        <v>30.888888888888889</v>
      </c>
      <c r="F95" s="3">
        <f t="shared" si="5"/>
        <v>194.97266666666667</v>
      </c>
      <c r="G95" s="3">
        <f>SUM(Table39[[#This Row],[RN Hours Contract (W/ Admin, DON)]], Table39[[#This Row],[LPN Contract Hours (w/ Admin)]], Table39[[#This Row],[CNA/NA/Med Aide Contract Hours]])</f>
        <v>0.89722222222222225</v>
      </c>
      <c r="H95" s="4">
        <f>Table39[[#This Row],[Total Contract Hours]]/Table39[[#This Row],[Total Hours Nurse Staffing]]</f>
        <v>4.6017846376187202E-3</v>
      </c>
      <c r="I95" s="3">
        <f>SUM(Table39[[#This Row],[RN Hours]], Table39[[#This Row],[RN Admin Hours]], Table39[[#This Row],[RN DON Hours]])</f>
        <v>27.834444444444443</v>
      </c>
      <c r="J95" s="3">
        <f t="shared" si="3"/>
        <v>0.89722222222222225</v>
      </c>
      <c r="K95" s="4">
        <f>Table39[[#This Row],[RN Hours Contract (W/ Admin, DON)]]/Table39[[#This Row],[RN Hours (w/ Admin, DON)]]</f>
        <v>3.2234242146022114E-2</v>
      </c>
      <c r="L95" s="3">
        <v>19.342777777777776</v>
      </c>
      <c r="M95" s="3">
        <v>0</v>
      </c>
      <c r="N95" s="4">
        <f>Table39[[#This Row],[RN Hours Contract]]/Table39[[#This Row],[RN Hours]]</f>
        <v>0</v>
      </c>
      <c r="O95" s="3">
        <v>5.9916666666666663</v>
      </c>
      <c r="P95" s="3">
        <v>0.89722222222222225</v>
      </c>
      <c r="Q95" s="4">
        <f>Table39[[#This Row],[RN Admin Hours Contract]]/Table39[[#This Row],[RN Admin Hours]]</f>
        <v>0.14974501622624017</v>
      </c>
      <c r="R95" s="3">
        <v>2.5</v>
      </c>
      <c r="S95" s="3">
        <v>0</v>
      </c>
      <c r="T95" s="4">
        <f>Table39[[#This Row],[RN DON Hours Contract]]/Table39[[#This Row],[RN DON Hours]]</f>
        <v>0</v>
      </c>
      <c r="U95" s="3">
        <f>SUM(Table39[[#This Row],[LPN Hours]], Table39[[#This Row],[LPN Admin Hours]])</f>
        <v>40.964666666666659</v>
      </c>
      <c r="V95" s="3">
        <f>Table39[[#This Row],[LPN Hours Contract]]+Table39[[#This Row],[LPN Admin Hours Contract]]</f>
        <v>0</v>
      </c>
      <c r="W95" s="4">
        <f t="shared" si="4"/>
        <v>0</v>
      </c>
      <c r="X95" s="3">
        <v>32.852777777777774</v>
      </c>
      <c r="Y95" s="3">
        <v>0</v>
      </c>
      <c r="Z95" s="4">
        <f>Table39[[#This Row],[LPN Hours Contract]]/Table39[[#This Row],[LPN Hours]]</f>
        <v>0</v>
      </c>
      <c r="AA95" s="3">
        <v>8.1118888888888883</v>
      </c>
      <c r="AB95" s="3">
        <v>0</v>
      </c>
      <c r="AC95" s="4">
        <f>Table39[[#This Row],[LPN Admin Hours Contract]]/Table39[[#This Row],[LPN Admin Hours]]</f>
        <v>0</v>
      </c>
      <c r="AD95" s="3">
        <f>SUM(Table39[[#This Row],[CNA Hours]], Table39[[#This Row],[NA in Training Hours]], Table39[[#This Row],[Med Aide/Tech Hours]])</f>
        <v>126.17355555555555</v>
      </c>
      <c r="AE95" s="3">
        <f>SUM(Table39[[#This Row],[CNA Hours Contract]], Table39[[#This Row],[NA in Training Hours Contract]], Table39[[#This Row],[Med Aide/Tech Hours Contract]])</f>
        <v>0</v>
      </c>
      <c r="AF95" s="4">
        <f>Table39[[#This Row],[CNA/NA/Med Aide Contract Hours]]/Table39[[#This Row],[Total CNA, NA in Training, Med Aide/Tech Hours]]</f>
        <v>0</v>
      </c>
      <c r="AG95" s="3">
        <v>112.47477777777777</v>
      </c>
      <c r="AH95" s="3">
        <v>0</v>
      </c>
      <c r="AI95" s="4">
        <f>Table39[[#This Row],[CNA Hours Contract]]/Table39[[#This Row],[CNA Hours]]</f>
        <v>0</v>
      </c>
      <c r="AJ95" s="3">
        <v>0</v>
      </c>
      <c r="AK95" s="3">
        <v>0</v>
      </c>
      <c r="AL95" s="4">
        <v>0</v>
      </c>
      <c r="AM95" s="3">
        <v>13.698777777777776</v>
      </c>
      <c r="AN95" s="3">
        <v>0</v>
      </c>
      <c r="AO95" s="4">
        <f>Table39[[#This Row],[Med Aide/Tech Hours Contract]]/Table39[[#This Row],[Med Aide/Tech Hours]]</f>
        <v>0</v>
      </c>
      <c r="AP95" s="1" t="s">
        <v>93</v>
      </c>
      <c r="AQ95" s="1">
        <v>10</v>
      </c>
    </row>
    <row r="96" spans="1:43" x14ac:dyDescent="0.2">
      <c r="A96" s="1" t="s">
        <v>128</v>
      </c>
      <c r="B96" s="1" t="s">
        <v>223</v>
      </c>
      <c r="C96" s="1" t="s">
        <v>266</v>
      </c>
      <c r="D96" s="1" t="s">
        <v>321</v>
      </c>
      <c r="E96" s="3">
        <v>78.077777777777783</v>
      </c>
      <c r="F96" s="3">
        <f t="shared" si="5"/>
        <v>349.69722222222219</v>
      </c>
      <c r="G96" s="3">
        <f>SUM(Table39[[#This Row],[RN Hours Contract (W/ Admin, DON)]], Table39[[#This Row],[LPN Contract Hours (w/ Admin)]], Table39[[#This Row],[CNA/NA/Med Aide Contract Hours]])</f>
        <v>17</v>
      </c>
      <c r="H96" s="4">
        <f>Table39[[#This Row],[Total Contract Hours]]/Table39[[#This Row],[Total Hours Nurse Staffing]]</f>
        <v>4.8613483092516549E-2</v>
      </c>
      <c r="I96" s="3">
        <f>SUM(Table39[[#This Row],[RN Hours]], Table39[[#This Row],[RN Admin Hours]], Table39[[#This Row],[RN DON Hours]])</f>
        <v>46.980555555555561</v>
      </c>
      <c r="J96" s="3">
        <f t="shared" si="3"/>
        <v>0</v>
      </c>
      <c r="K96" s="4">
        <f>Table39[[#This Row],[RN Hours Contract (W/ Admin, DON)]]/Table39[[#This Row],[RN Hours (w/ Admin, DON)]]</f>
        <v>0</v>
      </c>
      <c r="L96" s="3">
        <v>35.950000000000003</v>
      </c>
      <c r="M96" s="3">
        <v>0</v>
      </c>
      <c r="N96" s="4">
        <f>Table39[[#This Row],[RN Hours Contract]]/Table39[[#This Row],[RN Hours]]</f>
        <v>0</v>
      </c>
      <c r="O96" s="3">
        <v>5.7861111111111114</v>
      </c>
      <c r="P96" s="3">
        <v>0</v>
      </c>
      <c r="Q96" s="4">
        <f>Table39[[#This Row],[RN Admin Hours Contract]]/Table39[[#This Row],[RN Admin Hours]]</f>
        <v>0</v>
      </c>
      <c r="R96" s="3">
        <v>5.2444444444444445</v>
      </c>
      <c r="S96" s="3">
        <v>0</v>
      </c>
      <c r="T96" s="4">
        <f>Table39[[#This Row],[RN DON Hours Contract]]/Table39[[#This Row],[RN DON Hours]]</f>
        <v>0</v>
      </c>
      <c r="U96" s="3">
        <f>SUM(Table39[[#This Row],[LPN Hours]], Table39[[#This Row],[LPN Admin Hours]])</f>
        <v>86.625</v>
      </c>
      <c r="V96" s="3">
        <f>Table39[[#This Row],[LPN Hours Contract]]+Table39[[#This Row],[LPN Admin Hours Contract]]</f>
        <v>0</v>
      </c>
      <c r="W96" s="4">
        <f t="shared" si="4"/>
        <v>0</v>
      </c>
      <c r="X96" s="3">
        <v>86.625</v>
      </c>
      <c r="Y96" s="3">
        <v>0</v>
      </c>
      <c r="Z96" s="4">
        <f>Table39[[#This Row],[LPN Hours Contract]]/Table39[[#This Row],[LPN Hours]]</f>
        <v>0</v>
      </c>
      <c r="AA96" s="3">
        <v>0</v>
      </c>
      <c r="AB96" s="3">
        <v>0</v>
      </c>
      <c r="AC96" s="4">
        <v>0</v>
      </c>
      <c r="AD96" s="3">
        <f>SUM(Table39[[#This Row],[CNA Hours]], Table39[[#This Row],[NA in Training Hours]], Table39[[#This Row],[Med Aide/Tech Hours]])</f>
        <v>216.09166666666667</v>
      </c>
      <c r="AE96" s="3">
        <f>SUM(Table39[[#This Row],[CNA Hours Contract]], Table39[[#This Row],[NA in Training Hours Contract]], Table39[[#This Row],[Med Aide/Tech Hours Contract]])</f>
        <v>17</v>
      </c>
      <c r="AF96" s="4">
        <f>Table39[[#This Row],[CNA/NA/Med Aide Contract Hours]]/Table39[[#This Row],[Total CNA, NA in Training, Med Aide/Tech Hours]]</f>
        <v>7.8670317380741192E-2</v>
      </c>
      <c r="AG96" s="3">
        <v>170.01944444444445</v>
      </c>
      <c r="AH96" s="3">
        <v>17</v>
      </c>
      <c r="AI96" s="4">
        <f>Table39[[#This Row],[CNA Hours Contract]]/Table39[[#This Row],[CNA Hours]]</f>
        <v>9.9988563399611152E-2</v>
      </c>
      <c r="AJ96" s="3">
        <v>0</v>
      </c>
      <c r="AK96" s="3">
        <v>0</v>
      </c>
      <c r="AL96" s="4">
        <v>0</v>
      </c>
      <c r="AM96" s="3">
        <v>46.072222222222223</v>
      </c>
      <c r="AN96" s="3">
        <v>0</v>
      </c>
      <c r="AO96" s="4">
        <f>Table39[[#This Row],[Med Aide/Tech Hours Contract]]/Table39[[#This Row],[Med Aide/Tech Hours]]</f>
        <v>0</v>
      </c>
      <c r="AP96" s="1" t="s">
        <v>94</v>
      </c>
      <c r="AQ96" s="1">
        <v>10</v>
      </c>
    </row>
    <row r="97" spans="1:43" x14ac:dyDescent="0.2">
      <c r="A97" s="1" t="s">
        <v>128</v>
      </c>
      <c r="B97" s="1" t="s">
        <v>224</v>
      </c>
      <c r="C97" s="1" t="s">
        <v>289</v>
      </c>
      <c r="D97" s="1" t="s">
        <v>341</v>
      </c>
      <c r="E97" s="3">
        <v>39.955555555555556</v>
      </c>
      <c r="F97" s="3">
        <f t="shared" si="5"/>
        <v>219.84866666666665</v>
      </c>
      <c r="G97" s="3">
        <f>SUM(Table39[[#This Row],[RN Hours Contract (W/ Admin, DON)]], Table39[[#This Row],[LPN Contract Hours (w/ Admin)]], Table39[[#This Row],[CNA/NA/Med Aide Contract Hours]])</f>
        <v>19.006999999999998</v>
      </c>
      <c r="H97" s="4">
        <f>Table39[[#This Row],[Total Contract Hours]]/Table39[[#This Row],[Total Hours Nurse Staffing]]</f>
        <v>8.6454925054507192E-2</v>
      </c>
      <c r="I97" s="3">
        <f>SUM(Table39[[#This Row],[RN Hours]], Table39[[#This Row],[RN Admin Hours]], Table39[[#This Row],[RN DON Hours]])</f>
        <v>87.268888888888881</v>
      </c>
      <c r="J97" s="3">
        <f t="shared" si="3"/>
        <v>0.19666666666666671</v>
      </c>
      <c r="K97" s="4">
        <f>Table39[[#This Row],[RN Hours Contract (W/ Admin, DON)]]/Table39[[#This Row],[RN Hours (w/ Admin, DON)]]</f>
        <v>2.2535713376282758E-3</v>
      </c>
      <c r="L97" s="3">
        <v>63.136111111111113</v>
      </c>
      <c r="M97" s="3">
        <v>0</v>
      </c>
      <c r="N97" s="4">
        <f>Table39[[#This Row],[RN Hours Contract]]/Table39[[#This Row],[RN Hours]]</f>
        <v>0</v>
      </c>
      <c r="O97" s="3">
        <v>18.621666666666666</v>
      </c>
      <c r="P97" s="3">
        <v>0.19666666666666671</v>
      </c>
      <c r="Q97" s="4">
        <f>Table39[[#This Row],[RN Admin Hours Contract]]/Table39[[#This Row],[RN Admin Hours]]</f>
        <v>1.0561174259375283E-2</v>
      </c>
      <c r="R97" s="3">
        <v>5.5111111111111111</v>
      </c>
      <c r="S97" s="3">
        <v>0</v>
      </c>
      <c r="T97" s="4">
        <f>Table39[[#This Row],[RN DON Hours Contract]]/Table39[[#This Row],[RN DON Hours]]</f>
        <v>0</v>
      </c>
      <c r="U97" s="3">
        <f>SUM(Table39[[#This Row],[LPN Hours]], Table39[[#This Row],[LPN Admin Hours]])</f>
        <v>29.298666666666666</v>
      </c>
      <c r="V97" s="3">
        <f>Table39[[#This Row],[LPN Hours Contract]]+Table39[[#This Row],[LPN Admin Hours Contract]]</f>
        <v>5.8986666666666681</v>
      </c>
      <c r="W97" s="4">
        <f t="shared" si="4"/>
        <v>0.20132884317830169</v>
      </c>
      <c r="X97" s="3">
        <v>29.259777777777778</v>
      </c>
      <c r="Y97" s="3">
        <v>5.8597777777777793</v>
      </c>
      <c r="Z97" s="4">
        <f>Table39[[#This Row],[LPN Hours Contract]]/Table39[[#This Row],[LPN Hours]]</f>
        <v>0.20026733703453362</v>
      </c>
      <c r="AA97" s="3">
        <v>3.888888888888889E-2</v>
      </c>
      <c r="AB97" s="3">
        <v>3.888888888888889E-2</v>
      </c>
      <c r="AC97" s="4">
        <f>Table39[[#This Row],[LPN Admin Hours Contract]]/Table39[[#This Row],[LPN Admin Hours]]</f>
        <v>1</v>
      </c>
      <c r="AD97" s="3">
        <f>SUM(Table39[[#This Row],[CNA Hours]], Table39[[#This Row],[NA in Training Hours]], Table39[[#This Row],[Med Aide/Tech Hours]])</f>
        <v>103.2811111111111</v>
      </c>
      <c r="AE97" s="3">
        <f>SUM(Table39[[#This Row],[CNA Hours Contract]], Table39[[#This Row],[NA in Training Hours Contract]], Table39[[#This Row],[Med Aide/Tech Hours Contract]])</f>
        <v>12.911666666666664</v>
      </c>
      <c r="AF97" s="4">
        <f>Table39[[#This Row],[CNA/NA/Med Aide Contract Hours]]/Table39[[#This Row],[Total CNA, NA in Training, Med Aide/Tech Hours]]</f>
        <v>0.12501479242197669</v>
      </c>
      <c r="AG97" s="3">
        <v>103.2811111111111</v>
      </c>
      <c r="AH97" s="3">
        <v>12.911666666666664</v>
      </c>
      <c r="AI97" s="4">
        <f>Table39[[#This Row],[CNA Hours Contract]]/Table39[[#This Row],[CNA Hours]]</f>
        <v>0.12501479242197669</v>
      </c>
      <c r="AJ97" s="3">
        <v>0</v>
      </c>
      <c r="AK97" s="3">
        <v>0</v>
      </c>
      <c r="AL97" s="4">
        <v>0</v>
      </c>
      <c r="AM97" s="3">
        <v>0</v>
      </c>
      <c r="AN97" s="3">
        <v>0</v>
      </c>
      <c r="AO97" s="4">
        <v>0</v>
      </c>
      <c r="AP97" s="1" t="s">
        <v>95</v>
      </c>
      <c r="AQ97" s="1">
        <v>10</v>
      </c>
    </row>
    <row r="98" spans="1:43" x14ac:dyDescent="0.2">
      <c r="A98" s="1" t="s">
        <v>128</v>
      </c>
      <c r="B98" s="1" t="s">
        <v>225</v>
      </c>
      <c r="C98" s="1" t="s">
        <v>309</v>
      </c>
      <c r="D98" s="1" t="s">
        <v>332</v>
      </c>
      <c r="E98" s="3">
        <v>18.233333333333334</v>
      </c>
      <c r="F98" s="3">
        <f t="shared" si="5"/>
        <v>108.74922222222223</v>
      </c>
      <c r="G98" s="3">
        <f>SUM(Table39[[#This Row],[RN Hours Contract (W/ Admin, DON)]], Table39[[#This Row],[LPN Contract Hours (w/ Admin)]], Table39[[#This Row],[CNA/NA/Med Aide Contract Hours]])</f>
        <v>9.1923333333333357</v>
      </c>
      <c r="H98" s="4">
        <f>Table39[[#This Row],[Total Contract Hours]]/Table39[[#This Row],[Total Hours Nurse Staffing]]</f>
        <v>8.4527807606286851E-2</v>
      </c>
      <c r="I98" s="3">
        <f>SUM(Table39[[#This Row],[RN Hours]], Table39[[#This Row],[RN Admin Hours]], Table39[[#This Row],[RN DON Hours]])</f>
        <v>14.915666666666668</v>
      </c>
      <c r="J98" s="3">
        <f t="shared" si="3"/>
        <v>0</v>
      </c>
      <c r="K98" s="4">
        <f>Table39[[#This Row],[RN Hours Contract (W/ Admin, DON)]]/Table39[[#This Row],[RN Hours (w/ Admin, DON)]]</f>
        <v>0</v>
      </c>
      <c r="L98" s="3">
        <v>12.026777777777779</v>
      </c>
      <c r="M98" s="3">
        <v>0</v>
      </c>
      <c r="N98" s="4">
        <f>Table39[[#This Row],[RN Hours Contract]]/Table39[[#This Row],[RN Hours]]</f>
        <v>0</v>
      </c>
      <c r="O98" s="3">
        <v>0</v>
      </c>
      <c r="P98" s="3">
        <v>0</v>
      </c>
      <c r="Q98" s="4">
        <v>0</v>
      </c>
      <c r="R98" s="3">
        <v>2.8888888888888888</v>
      </c>
      <c r="S98" s="3">
        <v>0</v>
      </c>
      <c r="T98" s="4">
        <f>Table39[[#This Row],[RN DON Hours Contract]]/Table39[[#This Row],[RN DON Hours]]</f>
        <v>0</v>
      </c>
      <c r="U98" s="3">
        <f>SUM(Table39[[#This Row],[LPN Hours]], Table39[[#This Row],[LPN Admin Hours]])</f>
        <v>19.618444444444446</v>
      </c>
      <c r="V98" s="3">
        <f>Table39[[#This Row],[LPN Hours Contract]]+Table39[[#This Row],[LPN Admin Hours Contract]]</f>
        <v>0</v>
      </c>
      <c r="W98" s="4">
        <f t="shared" si="4"/>
        <v>0</v>
      </c>
      <c r="X98" s="3">
        <v>13.536</v>
      </c>
      <c r="Y98" s="3">
        <v>0</v>
      </c>
      <c r="Z98" s="4">
        <f>Table39[[#This Row],[LPN Hours Contract]]/Table39[[#This Row],[LPN Hours]]</f>
        <v>0</v>
      </c>
      <c r="AA98" s="3">
        <v>6.0824444444444454</v>
      </c>
      <c r="AB98" s="3">
        <v>0</v>
      </c>
      <c r="AC98" s="4">
        <f>Table39[[#This Row],[LPN Admin Hours Contract]]/Table39[[#This Row],[LPN Admin Hours]]</f>
        <v>0</v>
      </c>
      <c r="AD98" s="3">
        <f>SUM(Table39[[#This Row],[CNA Hours]], Table39[[#This Row],[NA in Training Hours]], Table39[[#This Row],[Med Aide/Tech Hours]])</f>
        <v>74.215111111111113</v>
      </c>
      <c r="AE98" s="3">
        <f>SUM(Table39[[#This Row],[CNA Hours Contract]], Table39[[#This Row],[NA in Training Hours Contract]], Table39[[#This Row],[Med Aide/Tech Hours Contract]])</f>
        <v>9.1923333333333357</v>
      </c>
      <c r="AF98" s="4">
        <f>Table39[[#This Row],[CNA/NA/Med Aide Contract Hours]]/Table39[[#This Row],[Total CNA, NA in Training, Med Aide/Tech Hours]]</f>
        <v>0.1238606692856801</v>
      </c>
      <c r="AG98" s="3">
        <v>64.820666666666668</v>
      </c>
      <c r="AH98" s="3">
        <v>9.1923333333333357</v>
      </c>
      <c r="AI98" s="4">
        <f>Table39[[#This Row],[CNA Hours Contract]]/Table39[[#This Row],[CNA Hours]]</f>
        <v>0.14181176785181684</v>
      </c>
      <c r="AJ98" s="3">
        <v>0</v>
      </c>
      <c r="AK98" s="3">
        <v>0</v>
      </c>
      <c r="AL98" s="4">
        <v>0</v>
      </c>
      <c r="AM98" s="3">
        <v>9.3944444444444475</v>
      </c>
      <c r="AN98" s="3">
        <v>0</v>
      </c>
      <c r="AO98" s="4">
        <f>Table39[[#This Row],[Med Aide/Tech Hours Contract]]/Table39[[#This Row],[Med Aide/Tech Hours]]</f>
        <v>0</v>
      </c>
      <c r="AP98" s="1" t="s">
        <v>96</v>
      </c>
      <c r="AQ98" s="1">
        <v>10</v>
      </c>
    </row>
    <row r="99" spans="1:43" x14ac:dyDescent="0.2">
      <c r="A99" s="1" t="s">
        <v>128</v>
      </c>
      <c r="B99" s="1" t="s">
        <v>226</v>
      </c>
      <c r="C99" s="1" t="s">
        <v>282</v>
      </c>
      <c r="D99" s="1" t="s">
        <v>336</v>
      </c>
      <c r="E99" s="3">
        <v>100.83333333333333</v>
      </c>
      <c r="F99" s="3">
        <f t="shared" si="5"/>
        <v>520.68333333333339</v>
      </c>
      <c r="G99" s="3">
        <f>SUM(Table39[[#This Row],[RN Hours Contract (W/ Admin, DON)]], Table39[[#This Row],[LPN Contract Hours (w/ Admin)]], Table39[[#This Row],[CNA/NA/Med Aide Contract Hours]])</f>
        <v>64.266666666666666</v>
      </c>
      <c r="H99" s="4">
        <f>Table39[[#This Row],[Total Contract Hours]]/Table39[[#This Row],[Total Hours Nurse Staffing]]</f>
        <v>0.12342754713357446</v>
      </c>
      <c r="I99" s="3">
        <f>SUM(Table39[[#This Row],[RN Hours]], Table39[[#This Row],[RN Admin Hours]], Table39[[#This Row],[RN DON Hours]])</f>
        <v>116.54444444444444</v>
      </c>
      <c r="J99" s="3">
        <f t="shared" si="3"/>
        <v>0</v>
      </c>
      <c r="K99" s="4">
        <f>Table39[[#This Row],[RN Hours Contract (W/ Admin, DON)]]/Table39[[#This Row],[RN Hours (w/ Admin, DON)]]</f>
        <v>0</v>
      </c>
      <c r="L99" s="3">
        <v>93.966666666666669</v>
      </c>
      <c r="M99" s="3">
        <v>0</v>
      </c>
      <c r="N99" s="4">
        <f>Table39[[#This Row],[RN Hours Contract]]/Table39[[#This Row],[RN Hours]]</f>
        <v>0</v>
      </c>
      <c r="O99" s="3">
        <v>17.333333333333332</v>
      </c>
      <c r="P99" s="3">
        <v>0</v>
      </c>
      <c r="Q99" s="4">
        <f>Table39[[#This Row],[RN Admin Hours Contract]]/Table39[[#This Row],[RN Admin Hours]]</f>
        <v>0</v>
      </c>
      <c r="R99" s="3">
        <v>5.2444444444444445</v>
      </c>
      <c r="S99" s="3">
        <v>0</v>
      </c>
      <c r="T99" s="4">
        <f>Table39[[#This Row],[RN DON Hours Contract]]/Table39[[#This Row],[RN DON Hours]]</f>
        <v>0</v>
      </c>
      <c r="U99" s="3">
        <f>SUM(Table39[[#This Row],[LPN Hours]], Table39[[#This Row],[LPN Admin Hours]])</f>
        <v>41.163888888888891</v>
      </c>
      <c r="V99" s="3">
        <f>Table39[[#This Row],[LPN Hours Contract]]+Table39[[#This Row],[LPN Admin Hours Contract]]</f>
        <v>9.2444444444444436</v>
      </c>
      <c r="W99" s="4">
        <f t="shared" si="4"/>
        <v>0.22457655712261282</v>
      </c>
      <c r="X99" s="3">
        <v>35.830555555555556</v>
      </c>
      <c r="Y99" s="3">
        <v>9.2444444444444436</v>
      </c>
      <c r="Z99" s="4">
        <f>Table39[[#This Row],[LPN Hours Contract]]/Table39[[#This Row],[LPN Hours]]</f>
        <v>0.25800449647259477</v>
      </c>
      <c r="AA99" s="3">
        <v>5.333333333333333</v>
      </c>
      <c r="AB99" s="3">
        <v>0</v>
      </c>
      <c r="AC99" s="4">
        <f>Table39[[#This Row],[LPN Admin Hours Contract]]/Table39[[#This Row],[LPN Admin Hours]]</f>
        <v>0</v>
      </c>
      <c r="AD99" s="3">
        <f>SUM(Table39[[#This Row],[CNA Hours]], Table39[[#This Row],[NA in Training Hours]], Table39[[#This Row],[Med Aide/Tech Hours]])</f>
        <v>362.97500000000002</v>
      </c>
      <c r="AE99" s="3">
        <f>SUM(Table39[[#This Row],[CNA Hours Contract]], Table39[[#This Row],[NA in Training Hours Contract]], Table39[[#This Row],[Med Aide/Tech Hours Contract]])</f>
        <v>55.022222222222226</v>
      </c>
      <c r="AF99" s="4">
        <f>Table39[[#This Row],[CNA/NA/Med Aide Contract Hours]]/Table39[[#This Row],[Total CNA, NA in Training, Med Aide/Tech Hours]]</f>
        <v>0.15158680962110951</v>
      </c>
      <c r="AG99" s="3">
        <v>305.98333333333335</v>
      </c>
      <c r="AH99" s="3">
        <v>55.022222222222226</v>
      </c>
      <c r="AI99" s="4">
        <f>Table39[[#This Row],[CNA Hours Contract]]/Table39[[#This Row],[CNA Hours]]</f>
        <v>0.17982097790366214</v>
      </c>
      <c r="AJ99" s="3">
        <v>6.5111111111111111</v>
      </c>
      <c r="AK99" s="3">
        <v>0</v>
      </c>
      <c r="AL99" s="4">
        <f>Table39[[#This Row],[NA in Training Hours Contract]]/Table39[[#This Row],[NA in Training Hours]]</f>
        <v>0</v>
      </c>
      <c r="AM99" s="3">
        <v>50.480555555555554</v>
      </c>
      <c r="AN99" s="3">
        <v>0</v>
      </c>
      <c r="AO99" s="4">
        <f>Table39[[#This Row],[Med Aide/Tech Hours Contract]]/Table39[[#This Row],[Med Aide/Tech Hours]]</f>
        <v>0</v>
      </c>
      <c r="AP99" s="1" t="s">
        <v>97</v>
      </c>
      <c r="AQ99" s="1">
        <v>10</v>
      </c>
    </row>
    <row r="100" spans="1:43" x14ac:dyDescent="0.2">
      <c r="A100" s="1" t="s">
        <v>128</v>
      </c>
      <c r="B100" s="1" t="s">
        <v>227</v>
      </c>
      <c r="C100" s="1" t="s">
        <v>263</v>
      </c>
      <c r="D100" s="1" t="s">
        <v>334</v>
      </c>
      <c r="E100" s="3">
        <v>33.37777777777778</v>
      </c>
      <c r="F100" s="3">
        <f t="shared" si="5"/>
        <v>142.69733333333335</v>
      </c>
      <c r="G100" s="3">
        <f>SUM(Table39[[#This Row],[RN Hours Contract (W/ Admin, DON)]], Table39[[#This Row],[LPN Contract Hours (w/ Admin)]], Table39[[#This Row],[CNA/NA/Med Aide Contract Hours]])</f>
        <v>0</v>
      </c>
      <c r="H100" s="4">
        <f>Table39[[#This Row],[Total Contract Hours]]/Table39[[#This Row],[Total Hours Nurse Staffing]]</f>
        <v>0</v>
      </c>
      <c r="I100" s="3">
        <f>SUM(Table39[[#This Row],[RN Hours]], Table39[[#This Row],[RN Admin Hours]], Table39[[#This Row],[RN DON Hours]])</f>
        <v>28.462888888888887</v>
      </c>
      <c r="J100" s="3">
        <f t="shared" si="3"/>
        <v>0</v>
      </c>
      <c r="K100" s="4">
        <f>Table39[[#This Row],[RN Hours Contract (W/ Admin, DON)]]/Table39[[#This Row],[RN Hours (w/ Admin, DON)]]</f>
        <v>0</v>
      </c>
      <c r="L100" s="3">
        <v>10.373999999999999</v>
      </c>
      <c r="M100" s="3">
        <v>0</v>
      </c>
      <c r="N100" s="4">
        <f>Table39[[#This Row],[RN Hours Contract]]/Table39[[#This Row],[RN Hours]]</f>
        <v>0</v>
      </c>
      <c r="O100" s="3">
        <v>12.472222222222221</v>
      </c>
      <c r="P100" s="3">
        <v>0</v>
      </c>
      <c r="Q100" s="4">
        <f>Table39[[#This Row],[RN Admin Hours Contract]]/Table39[[#This Row],[RN Admin Hours]]</f>
        <v>0</v>
      </c>
      <c r="R100" s="3">
        <v>5.6166666666666663</v>
      </c>
      <c r="S100" s="3">
        <v>0</v>
      </c>
      <c r="T100" s="4">
        <f>Table39[[#This Row],[RN DON Hours Contract]]/Table39[[#This Row],[RN DON Hours]]</f>
        <v>0</v>
      </c>
      <c r="U100" s="3">
        <f>SUM(Table39[[#This Row],[LPN Hours]], Table39[[#This Row],[LPN Admin Hours]])</f>
        <v>34.960888888888888</v>
      </c>
      <c r="V100" s="3">
        <f>Table39[[#This Row],[LPN Hours Contract]]+Table39[[#This Row],[LPN Admin Hours Contract]]</f>
        <v>0</v>
      </c>
      <c r="W100" s="4">
        <f t="shared" si="4"/>
        <v>0</v>
      </c>
      <c r="X100" s="3">
        <v>34.960888888888888</v>
      </c>
      <c r="Y100" s="3">
        <v>0</v>
      </c>
      <c r="Z100" s="4">
        <f>Table39[[#This Row],[LPN Hours Contract]]/Table39[[#This Row],[LPN Hours]]</f>
        <v>0</v>
      </c>
      <c r="AA100" s="3">
        <v>0</v>
      </c>
      <c r="AB100" s="3">
        <v>0</v>
      </c>
      <c r="AC100" s="4">
        <v>0</v>
      </c>
      <c r="AD100" s="3">
        <f>SUM(Table39[[#This Row],[CNA Hours]], Table39[[#This Row],[NA in Training Hours]], Table39[[#This Row],[Med Aide/Tech Hours]])</f>
        <v>79.273555555555561</v>
      </c>
      <c r="AE100" s="3">
        <f>SUM(Table39[[#This Row],[CNA Hours Contract]], Table39[[#This Row],[NA in Training Hours Contract]], Table39[[#This Row],[Med Aide/Tech Hours Contract]])</f>
        <v>0</v>
      </c>
      <c r="AF100" s="4">
        <f>Table39[[#This Row],[CNA/NA/Med Aide Contract Hours]]/Table39[[#This Row],[Total CNA, NA in Training, Med Aide/Tech Hours]]</f>
        <v>0</v>
      </c>
      <c r="AG100" s="3">
        <v>74.020777777777781</v>
      </c>
      <c r="AH100" s="3">
        <v>0</v>
      </c>
      <c r="AI100" s="4">
        <f>Table39[[#This Row],[CNA Hours Contract]]/Table39[[#This Row],[CNA Hours]]</f>
        <v>0</v>
      </c>
      <c r="AJ100" s="3">
        <v>0</v>
      </c>
      <c r="AK100" s="3">
        <v>0</v>
      </c>
      <c r="AL100" s="4">
        <v>0</v>
      </c>
      <c r="AM100" s="3">
        <v>5.2527777777777782</v>
      </c>
      <c r="AN100" s="3">
        <v>0</v>
      </c>
      <c r="AO100" s="4">
        <f>Table39[[#This Row],[Med Aide/Tech Hours Contract]]/Table39[[#This Row],[Med Aide/Tech Hours]]</f>
        <v>0</v>
      </c>
      <c r="AP100" s="1" t="s">
        <v>98</v>
      </c>
      <c r="AQ100" s="1">
        <v>10</v>
      </c>
    </row>
    <row r="101" spans="1:43" x14ac:dyDescent="0.2">
      <c r="A101" s="1" t="s">
        <v>128</v>
      </c>
      <c r="B101" s="1" t="s">
        <v>228</v>
      </c>
      <c r="C101" s="1" t="s">
        <v>263</v>
      </c>
      <c r="D101" s="1" t="s">
        <v>334</v>
      </c>
      <c r="E101" s="3">
        <v>34.87777777777778</v>
      </c>
      <c r="F101" s="3">
        <f t="shared" si="5"/>
        <v>266.18455555555556</v>
      </c>
      <c r="G101" s="3">
        <f>SUM(Table39[[#This Row],[RN Hours Contract (W/ Admin, DON)]], Table39[[#This Row],[LPN Contract Hours (w/ Admin)]], Table39[[#This Row],[CNA/NA/Med Aide Contract Hours]])</f>
        <v>0</v>
      </c>
      <c r="H101" s="4">
        <f>Table39[[#This Row],[Total Contract Hours]]/Table39[[#This Row],[Total Hours Nurse Staffing]]</f>
        <v>0</v>
      </c>
      <c r="I101" s="3">
        <f>SUM(Table39[[#This Row],[RN Hours]], Table39[[#This Row],[RN Admin Hours]], Table39[[#This Row],[RN DON Hours]])</f>
        <v>51.241111111111103</v>
      </c>
      <c r="J101" s="3">
        <f t="shared" si="3"/>
        <v>0</v>
      </c>
      <c r="K101" s="4">
        <f>Table39[[#This Row],[RN Hours Contract (W/ Admin, DON)]]/Table39[[#This Row],[RN Hours (w/ Admin, DON)]]</f>
        <v>0</v>
      </c>
      <c r="L101" s="3">
        <v>36.246666666666663</v>
      </c>
      <c r="M101" s="3">
        <v>0</v>
      </c>
      <c r="N101" s="4">
        <f>Table39[[#This Row],[RN Hours Contract]]/Table39[[#This Row],[RN Hours]]</f>
        <v>0</v>
      </c>
      <c r="O101" s="3">
        <v>10.199999999999999</v>
      </c>
      <c r="P101" s="3">
        <v>0</v>
      </c>
      <c r="Q101" s="4">
        <f>Table39[[#This Row],[RN Admin Hours Contract]]/Table39[[#This Row],[RN Admin Hours]]</f>
        <v>0</v>
      </c>
      <c r="R101" s="3">
        <v>4.7944444444444443</v>
      </c>
      <c r="S101" s="3">
        <v>0</v>
      </c>
      <c r="T101" s="4">
        <f>Table39[[#This Row],[RN DON Hours Contract]]/Table39[[#This Row],[RN DON Hours]]</f>
        <v>0</v>
      </c>
      <c r="U101" s="3">
        <f>SUM(Table39[[#This Row],[LPN Hours]], Table39[[#This Row],[LPN Admin Hours]])</f>
        <v>32.286555555555552</v>
      </c>
      <c r="V101" s="3">
        <f>Table39[[#This Row],[LPN Hours Contract]]+Table39[[#This Row],[LPN Admin Hours Contract]]</f>
        <v>0</v>
      </c>
      <c r="W101" s="4">
        <f t="shared" si="4"/>
        <v>0</v>
      </c>
      <c r="X101" s="3">
        <v>22.236555555555555</v>
      </c>
      <c r="Y101" s="3">
        <v>0</v>
      </c>
      <c r="Z101" s="4">
        <f>Table39[[#This Row],[LPN Hours Contract]]/Table39[[#This Row],[LPN Hours]]</f>
        <v>0</v>
      </c>
      <c r="AA101" s="3">
        <v>10.050000000000001</v>
      </c>
      <c r="AB101" s="3">
        <v>0</v>
      </c>
      <c r="AC101" s="4">
        <f>Table39[[#This Row],[LPN Admin Hours Contract]]/Table39[[#This Row],[LPN Admin Hours]]</f>
        <v>0</v>
      </c>
      <c r="AD101" s="3">
        <f>SUM(Table39[[#This Row],[CNA Hours]], Table39[[#This Row],[NA in Training Hours]], Table39[[#This Row],[Med Aide/Tech Hours]])</f>
        <v>182.65688888888889</v>
      </c>
      <c r="AE101" s="3">
        <f>SUM(Table39[[#This Row],[CNA Hours Contract]], Table39[[#This Row],[NA in Training Hours Contract]], Table39[[#This Row],[Med Aide/Tech Hours Contract]])</f>
        <v>0</v>
      </c>
      <c r="AF101" s="4">
        <f>Table39[[#This Row],[CNA/NA/Med Aide Contract Hours]]/Table39[[#This Row],[Total CNA, NA in Training, Med Aide/Tech Hours]]</f>
        <v>0</v>
      </c>
      <c r="AG101" s="3">
        <v>147.61122222222224</v>
      </c>
      <c r="AH101" s="3">
        <v>0</v>
      </c>
      <c r="AI101" s="4">
        <f>Table39[[#This Row],[CNA Hours Contract]]/Table39[[#This Row],[CNA Hours]]</f>
        <v>0</v>
      </c>
      <c r="AJ101" s="3">
        <v>4.2794444444444464</v>
      </c>
      <c r="AK101" s="3">
        <v>0</v>
      </c>
      <c r="AL101" s="4">
        <f>Table39[[#This Row],[NA in Training Hours Contract]]/Table39[[#This Row],[NA in Training Hours]]</f>
        <v>0</v>
      </c>
      <c r="AM101" s="3">
        <v>30.766222222222222</v>
      </c>
      <c r="AN101" s="3">
        <v>0</v>
      </c>
      <c r="AO101" s="4">
        <f>Table39[[#This Row],[Med Aide/Tech Hours Contract]]/Table39[[#This Row],[Med Aide/Tech Hours]]</f>
        <v>0</v>
      </c>
      <c r="AP101" s="1" t="s">
        <v>99</v>
      </c>
      <c r="AQ101" s="1">
        <v>10</v>
      </c>
    </row>
    <row r="102" spans="1:43" x14ac:dyDescent="0.2">
      <c r="A102" s="1" t="s">
        <v>128</v>
      </c>
      <c r="B102" s="1" t="s">
        <v>229</v>
      </c>
      <c r="C102" s="1" t="s">
        <v>275</v>
      </c>
      <c r="D102" s="1" t="s">
        <v>339</v>
      </c>
      <c r="E102" s="3">
        <v>32.6</v>
      </c>
      <c r="F102" s="3">
        <f t="shared" si="5"/>
        <v>199.83055555555555</v>
      </c>
      <c r="G102" s="3">
        <f>SUM(Table39[[#This Row],[RN Hours Contract (W/ Admin, DON)]], Table39[[#This Row],[LPN Contract Hours (w/ Admin)]], Table39[[#This Row],[CNA/NA/Med Aide Contract Hours]])</f>
        <v>6.7666666666666666</v>
      </c>
      <c r="H102" s="4">
        <f>Table39[[#This Row],[Total Contract Hours]]/Table39[[#This Row],[Total Hours Nurse Staffing]]</f>
        <v>3.3862021990853364E-2</v>
      </c>
      <c r="I102" s="3">
        <f>SUM(Table39[[#This Row],[RN Hours]], Table39[[#This Row],[RN Admin Hours]], Table39[[#This Row],[RN DON Hours]])</f>
        <v>34.391666666666666</v>
      </c>
      <c r="J102" s="3">
        <f t="shared" si="3"/>
        <v>0</v>
      </c>
      <c r="K102" s="4">
        <f>Table39[[#This Row],[RN Hours Contract (W/ Admin, DON)]]/Table39[[#This Row],[RN Hours (w/ Admin, DON)]]</f>
        <v>0</v>
      </c>
      <c r="L102" s="3">
        <v>17.81111111111111</v>
      </c>
      <c r="M102" s="3">
        <v>0</v>
      </c>
      <c r="N102" s="4">
        <f>Table39[[#This Row],[RN Hours Contract]]/Table39[[#This Row],[RN Hours]]</f>
        <v>0</v>
      </c>
      <c r="O102" s="3">
        <v>11.691666666666666</v>
      </c>
      <c r="P102" s="3">
        <v>0</v>
      </c>
      <c r="Q102" s="4">
        <f>Table39[[#This Row],[RN Admin Hours Contract]]/Table39[[#This Row],[RN Admin Hours]]</f>
        <v>0</v>
      </c>
      <c r="R102" s="3">
        <v>4.8888888888888893</v>
      </c>
      <c r="S102" s="3">
        <v>0</v>
      </c>
      <c r="T102" s="4">
        <f>Table39[[#This Row],[RN DON Hours Contract]]/Table39[[#This Row],[RN DON Hours]]</f>
        <v>0</v>
      </c>
      <c r="U102" s="3">
        <f>SUM(Table39[[#This Row],[LPN Hours]], Table39[[#This Row],[LPN Admin Hours]])</f>
        <v>22.56388888888889</v>
      </c>
      <c r="V102" s="3">
        <f>Table39[[#This Row],[LPN Hours Contract]]+Table39[[#This Row],[LPN Admin Hours Contract]]</f>
        <v>0</v>
      </c>
      <c r="W102" s="4">
        <f t="shared" si="4"/>
        <v>0</v>
      </c>
      <c r="X102" s="3">
        <v>22.56388888888889</v>
      </c>
      <c r="Y102" s="3">
        <v>0</v>
      </c>
      <c r="Z102" s="4">
        <f>Table39[[#This Row],[LPN Hours Contract]]/Table39[[#This Row],[LPN Hours]]</f>
        <v>0</v>
      </c>
      <c r="AA102" s="3">
        <v>0</v>
      </c>
      <c r="AB102" s="3">
        <v>0</v>
      </c>
      <c r="AC102" s="4">
        <v>0</v>
      </c>
      <c r="AD102" s="3">
        <f>SUM(Table39[[#This Row],[CNA Hours]], Table39[[#This Row],[NA in Training Hours]], Table39[[#This Row],[Med Aide/Tech Hours]])</f>
        <v>142.875</v>
      </c>
      <c r="AE102" s="3">
        <f>SUM(Table39[[#This Row],[CNA Hours Contract]], Table39[[#This Row],[NA in Training Hours Contract]], Table39[[#This Row],[Med Aide/Tech Hours Contract]])</f>
        <v>6.7666666666666666</v>
      </c>
      <c r="AF102" s="4">
        <f>Table39[[#This Row],[CNA/NA/Med Aide Contract Hours]]/Table39[[#This Row],[Total CNA, NA in Training, Med Aide/Tech Hours]]</f>
        <v>4.7360746573344999E-2</v>
      </c>
      <c r="AG102" s="3">
        <v>88.641666666666666</v>
      </c>
      <c r="AH102" s="3">
        <v>6.7666666666666666</v>
      </c>
      <c r="AI102" s="4">
        <f>Table39[[#This Row],[CNA Hours Contract]]/Table39[[#This Row],[CNA Hours]]</f>
        <v>7.6337313152204572E-2</v>
      </c>
      <c r="AJ102" s="3">
        <v>10.852777777777778</v>
      </c>
      <c r="AK102" s="3">
        <v>0</v>
      </c>
      <c r="AL102" s="4">
        <f>Table39[[#This Row],[NA in Training Hours Contract]]/Table39[[#This Row],[NA in Training Hours]]</f>
        <v>0</v>
      </c>
      <c r="AM102" s="3">
        <v>43.380555555555553</v>
      </c>
      <c r="AN102" s="3">
        <v>0</v>
      </c>
      <c r="AO102" s="4">
        <f>Table39[[#This Row],[Med Aide/Tech Hours Contract]]/Table39[[#This Row],[Med Aide/Tech Hours]]</f>
        <v>0</v>
      </c>
      <c r="AP102" s="1" t="s">
        <v>100</v>
      </c>
      <c r="AQ102" s="1">
        <v>10</v>
      </c>
    </row>
    <row r="103" spans="1:43" x14ac:dyDescent="0.2">
      <c r="A103" s="1" t="s">
        <v>128</v>
      </c>
      <c r="B103" s="1" t="s">
        <v>230</v>
      </c>
      <c r="C103" s="1" t="s">
        <v>310</v>
      </c>
      <c r="D103" s="1" t="s">
        <v>346</v>
      </c>
      <c r="E103" s="3">
        <v>27.033333333333335</v>
      </c>
      <c r="F103" s="3">
        <f t="shared" si="5"/>
        <v>130.87566666666669</v>
      </c>
      <c r="G103" s="3">
        <f>SUM(Table39[[#This Row],[RN Hours Contract (W/ Admin, DON)]], Table39[[#This Row],[LPN Contract Hours (w/ Admin)]], Table39[[#This Row],[CNA/NA/Med Aide Contract Hours]])</f>
        <v>1.0361111111111112</v>
      </c>
      <c r="H103" s="4">
        <f>Table39[[#This Row],[Total Contract Hours]]/Table39[[#This Row],[Total Hours Nurse Staffing]]</f>
        <v>7.9167589934806652E-3</v>
      </c>
      <c r="I103" s="3">
        <f>SUM(Table39[[#This Row],[RN Hours]], Table39[[#This Row],[RN Admin Hours]], Table39[[#This Row],[RN DON Hours]])</f>
        <v>22.906888888888894</v>
      </c>
      <c r="J103" s="3">
        <f t="shared" si="3"/>
        <v>0</v>
      </c>
      <c r="K103" s="4">
        <f>Table39[[#This Row],[RN Hours Contract (W/ Admin, DON)]]/Table39[[#This Row],[RN Hours (w/ Admin, DON)]]</f>
        <v>0</v>
      </c>
      <c r="L103" s="3">
        <v>10.988333333333333</v>
      </c>
      <c r="M103" s="3">
        <v>0</v>
      </c>
      <c r="N103" s="4">
        <f>Table39[[#This Row],[RN Hours Contract]]/Table39[[#This Row],[RN Hours]]</f>
        <v>0</v>
      </c>
      <c r="O103" s="3">
        <v>7.3677777777777766</v>
      </c>
      <c r="P103" s="3">
        <v>0</v>
      </c>
      <c r="Q103" s="4">
        <f>Table39[[#This Row],[RN Admin Hours Contract]]/Table39[[#This Row],[RN Admin Hours]]</f>
        <v>0</v>
      </c>
      <c r="R103" s="3">
        <v>4.55077777777778</v>
      </c>
      <c r="S103" s="3">
        <v>0</v>
      </c>
      <c r="T103" s="4">
        <f>Table39[[#This Row],[RN DON Hours Contract]]/Table39[[#This Row],[RN DON Hours]]</f>
        <v>0</v>
      </c>
      <c r="U103" s="3">
        <f>SUM(Table39[[#This Row],[LPN Hours]], Table39[[#This Row],[LPN Admin Hours]])</f>
        <v>16.771222222222224</v>
      </c>
      <c r="V103" s="3">
        <f>Table39[[#This Row],[LPN Hours Contract]]+Table39[[#This Row],[LPN Admin Hours Contract]]</f>
        <v>0</v>
      </c>
      <c r="W103" s="4">
        <f t="shared" si="4"/>
        <v>0</v>
      </c>
      <c r="X103" s="3">
        <v>16.59877777777778</v>
      </c>
      <c r="Y103" s="3">
        <v>0</v>
      </c>
      <c r="Z103" s="4">
        <f>Table39[[#This Row],[LPN Hours Contract]]/Table39[[#This Row],[LPN Hours]]</f>
        <v>0</v>
      </c>
      <c r="AA103" s="3">
        <v>0.17244444444444443</v>
      </c>
      <c r="AB103" s="3">
        <v>0</v>
      </c>
      <c r="AC103" s="4">
        <f>Table39[[#This Row],[LPN Admin Hours Contract]]/Table39[[#This Row],[LPN Admin Hours]]</f>
        <v>0</v>
      </c>
      <c r="AD103" s="3">
        <f>SUM(Table39[[#This Row],[CNA Hours]], Table39[[#This Row],[NA in Training Hours]], Table39[[#This Row],[Med Aide/Tech Hours]])</f>
        <v>91.197555555555567</v>
      </c>
      <c r="AE103" s="3">
        <f>SUM(Table39[[#This Row],[CNA Hours Contract]], Table39[[#This Row],[NA in Training Hours Contract]], Table39[[#This Row],[Med Aide/Tech Hours Contract]])</f>
        <v>1.0361111111111112</v>
      </c>
      <c r="AF103" s="4">
        <f>Table39[[#This Row],[CNA/NA/Med Aide Contract Hours]]/Table39[[#This Row],[Total CNA, NA in Training, Med Aide/Tech Hours]]</f>
        <v>1.1361171961236777E-2</v>
      </c>
      <c r="AG103" s="3">
        <v>79.404555555555561</v>
      </c>
      <c r="AH103" s="3">
        <v>1.0361111111111112</v>
      </c>
      <c r="AI103" s="4">
        <f>Table39[[#This Row],[CNA Hours Contract]]/Table39[[#This Row],[CNA Hours]]</f>
        <v>1.3048509671289501E-2</v>
      </c>
      <c r="AJ103" s="3">
        <v>0</v>
      </c>
      <c r="AK103" s="3">
        <v>0</v>
      </c>
      <c r="AL103" s="4">
        <v>0</v>
      </c>
      <c r="AM103" s="3">
        <v>11.792999999999999</v>
      </c>
      <c r="AN103" s="3">
        <v>0</v>
      </c>
      <c r="AO103" s="4">
        <f>Table39[[#This Row],[Med Aide/Tech Hours Contract]]/Table39[[#This Row],[Med Aide/Tech Hours]]</f>
        <v>0</v>
      </c>
      <c r="AP103" s="1" t="s">
        <v>101</v>
      </c>
      <c r="AQ103" s="1">
        <v>10</v>
      </c>
    </row>
    <row r="104" spans="1:43" x14ac:dyDescent="0.2">
      <c r="A104" s="1" t="s">
        <v>128</v>
      </c>
      <c r="B104" s="1" t="s">
        <v>231</v>
      </c>
      <c r="C104" s="1" t="s">
        <v>311</v>
      </c>
      <c r="D104" s="1" t="s">
        <v>343</v>
      </c>
      <c r="E104" s="3">
        <v>48.477777777777774</v>
      </c>
      <c r="F104" s="3">
        <f t="shared" si="5"/>
        <v>228.10366666666667</v>
      </c>
      <c r="G104" s="3">
        <f>SUM(Table39[[#This Row],[RN Hours Contract (W/ Admin, DON)]], Table39[[#This Row],[LPN Contract Hours (w/ Admin)]], Table39[[#This Row],[CNA/NA/Med Aide Contract Hours]])</f>
        <v>0</v>
      </c>
      <c r="H104" s="4">
        <f>Table39[[#This Row],[Total Contract Hours]]/Table39[[#This Row],[Total Hours Nurse Staffing]]</f>
        <v>0</v>
      </c>
      <c r="I104" s="3">
        <f>SUM(Table39[[#This Row],[RN Hours]], Table39[[#This Row],[RN Admin Hours]], Table39[[#This Row],[RN DON Hours]])</f>
        <v>43.888111111111115</v>
      </c>
      <c r="J104" s="3">
        <f t="shared" si="3"/>
        <v>0</v>
      </c>
      <c r="K104" s="4">
        <f>Table39[[#This Row],[RN Hours Contract (W/ Admin, DON)]]/Table39[[#This Row],[RN Hours (w/ Admin, DON)]]</f>
        <v>0</v>
      </c>
      <c r="L104" s="3">
        <v>30.402666666666665</v>
      </c>
      <c r="M104" s="3">
        <v>0</v>
      </c>
      <c r="N104" s="4">
        <f>Table39[[#This Row],[RN Hours Contract]]/Table39[[#This Row],[RN Hours]]</f>
        <v>0</v>
      </c>
      <c r="O104" s="3">
        <v>8.8141111111111101</v>
      </c>
      <c r="P104" s="3">
        <v>0</v>
      </c>
      <c r="Q104" s="4">
        <f>Table39[[#This Row],[RN Admin Hours Contract]]/Table39[[#This Row],[RN Admin Hours]]</f>
        <v>0</v>
      </c>
      <c r="R104" s="3">
        <v>4.6713333333333331</v>
      </c>
      <c r="S104" s="3">
        <v>0</v>
      </c>
      <c r="T104" s="4">
        <f>Table39[[#This Row],[RN DON Hours Contract]]/Table39[[#This Row],[RN DON Hours]]</f>
        <v>0</v>
      </c>
      <c r="U104" s="3">
        <f>SUM(Table39[[#This Row],[LPN Hours]], Table39[[#This Row],[LPN Admin Hours]])</f>
        <v>21.547444444444448</v>
      </c>
      <c r="V104" s="3">
        <f>Table39[[#This Row],[LPN Hours Contract]]+Table39[[#This Row],[LPN Admin Hours Contract]]</f>
        <v>0</v>
      </c>
      <c r="W104" s="4">
        <f t="shared" si="4"/>
        <v>0</v>
      </c>
      <c r="X104" s="3">
        <v>16.22377777777778</v>
      </c>
      <c r="Y104" s="3">
        <v>0</v>
      </c>
      <c r="Z104" s="4">
        <f>Table39[[#This Row],[LPN Hours Contract]]/Table39[[#This Row],[LPN Hours]]</f>
        <v>0</v>
      </c>
      <c r="AA104" s="3">
        <v>5.323666666666667</v>
      </c>
      <c r="AB104" s="3">
        <v>0</v>
      </c>
      <c r="AC104" s="4">
        <f>Table39[[#This Row],[LPN Admin Hours Contract]]/Table39[[#This Row],[LPN Admin Hours]]</f>
        <v>0</v>
      </c>
      <c r="AD104" s="3">
        <f>SUM(Table39[[#This Row],[CNA Hours]], Table39[[#This Row],[NA in Training Hours]], Table39[[#This Row],[Med Aide/Tech Hours]])</f>
        <v>162.6681111111111</v>
      </c>
      <c r="AE104" s="3">
        <f>SUM(Table39[[#This Row],[CNA Hours Contract]], Table39[[#This Row],[NA in Training Hours Contract]], Table39[[#This Row],[Med Aide/Tech Hours Contract]])</f>
        <v>0</v>
      </c>
      <c r="AF104" s="4">
        <f>Table39[[#This Row],[CNA/NA/Med Aide Contract Hours]]/Table39[[#This Row],[Total CNA, NA in Training, Med Aide/Tech Hours]]</f>
        <v>0</v>
      </c>
      <c r="AG104" s="3">
        <v>130.70455555555554</v>
      </c>
      <c r="AH104" s="3">
        <v>0</v>
      </c>
      <c r="AI104" s="4">
        <f>Table39[[#This Row],[CNA Hours Contract]]/Table39[[#This Row],[CNA Hours]]</f>
        <v>0</v>
      </c>
      <c r="AJ104" s="3">
        <v>0</v>
      </c>
      <c r="AK104" s="3">
        <v>0</v>
      </c>
      <c r="AL104" s="4">
        <v>0</v>
      </c>
      <c r="AM104" s="3">
        <v>31.963555555555548</v>
      </c>
      <c r="AN104" s="3">
        <v>0</v>
      </c>
      <c r="AO104" s="4">
        <f>Table39[[#This Row],[Med Aide/Tech Hours Contract]]/Table39[[#This Row],[Med Aide/Tech Hours]]</f>
        <v>0</v>
      </c>
      <c r="AP104" s="1" t="s">
        <v>102</v>
      </c>
      <c r="AQ104" s="1">
        <v>10</v>
      </c>
    </row>
    <row r="105" spans="1:43" x14ac:dyDescent="0.2">
      <c r="A105" s="1" t="s">
        <v>128</v>
      </c>
      <c r="B105" s="1" t="s">
        <v>232</v>
      </c>
      <c r="C105" s="1" t="s">
        <v>263</v>
      </c>
      <c r="D105" s="1" t="s">
        <v>334</v>
      </c>
      <c r="E105" s="3">
        <v>46.022222222222226</v>
      </c>
      <c r="F105" s="3">
        <f t="shared" si="5"/>
        <v>194.27266666666668</v>
      </c>
      <c r="G105" s="3">
        <f>SUM(Table39[[#This Row],[RN Hours Contract (W/ Admin, DON)]], Table39[[#This Row],[LPN Contract Hours (w/ Admin)]], Table39[[#This Row],[CNA/NA/Med Aide Contract Hours]])</f>
        <v>0</v>
      </c>
      <c r="H105" s="4">
        <f>Table39[[#This Row],[Total Contract Hours]]/Table39[[#This Row],[Total Hours Nurse Staffing]]</f>
        <v>0</v>
      </c>
      <c r="I105" s="3">
        <f>SUM(Table39[[#This Row],[RN Hours]], Table39[[#This Row],[RN Admin Hours]], Table39[[#This Row],[RN DON Hours]])</f>
        <v>37.54344444444444</v>
      </c>
      <c r="J105" s="3">
        <f t="shared" ref="J105:J129" si="6">SUM(M105,P105,S105)</f>
        <v>0</v>
      </c>
      <c r="K105" s="4">
        <f>Table39[[#This Row],[RN Hours Contract (W/ Admin, DON)]]/Table39[[#This Row],[RN Hours (w/ Admin, DON)]]</f>
        <v>0</v>
      </c>
      <c r="L105" s="3">
        <v>32.29344444444444</v>
      </c>
      <c r="M105" s="3">
        <v>0</v>
      </c>
      <c r="N105" s="4">
        <f>Table39[[#This Row],[RN Hours Contract]]/Table39[[#This Row],[RN Hours]]</f>
        <v>0</v>
      </c>
      <c r="O105" s="3">
        <v>0</v>
      </c>
      <c r="P105" s="3">
        <v>0</v>
      </c>
      <c r="Q105" s="4">
        <v>0</v>
      </c>
      <c r="R105" s="3">
        <v>5.25</v>
      </c>
      <c r="S105" s="3">
        <v>0</v>
      </c>
      <c r="T105" s="4">
        <f>Table39[[#This Row],[RN DON Hours Contract]]/Table39[[#This Row],[RN DON Hours]]</f>
        <v>0</v>
      </c>
      <c r="U105" s="3">
        <f>SUM(Table39[[#This Row],[LPN Hours]], Table39[[#This Row],[LPN Admin Hours]])</f>
        <v>30.746666666666666</v>
      </c>
      <c r="V105" s="3">
        <f>Table39[[#This Row],[LPN Hours Contract]]+Table39[[#This Row],[LPN Admin Hours Contract]]</f>
        <v>0</v>
      </c>
      <c r="W105" s="4">
        <f t="shared" ref="W105:W129" si="7">V105/U105</f>
        <v>0</v>
      </c>
      <c r="X105" s="3">
        <v>30.746666666666666</v>
      </c>
      <c r="Y105" s="3">
        <v>0</v>
      </c>
      <c r="Z105" s="4">
        <f>Table39[[#This Row],[LPN Hours Contract]]/Table39[[#This Row],[LPN Hours]]</f>
        <v>0</v>
      </c>
      <c r="AA105" s="3">
        <v>0</v>
      </c>
      <c r="AB105" s="3">
        <v>0</v>
      </c>
      <c r="AC105" s="4">
        <v>0</v>
      </c>
      <c r="AD105" s="3">
        <f>SUM(Table39[[#This Row],[CNA Hours]], Table39[[#This Row],[NA in Training Hours]], Table39[[#This Row],[Med Aide/Tech Hours]])</f>
        <v>125.98255555555556</v>
      </c>
      <c r="AE105" s="3">
        <f>SUM(Table39[[#This Row],[CNA Hours Contract]], Table39[[#This Row],[NA in Training Hours Contract]], Table39[[#This Row],[Med Aide/Tech Hours Contract]])</f>
        <v>0</v>
      </c>
      <c r="AF105" s="4">
        <f>Table39[[#This Row],[CNA/NA/Med Aide Contract Hours]]/Table39[[#This Row],[Total CNA, NA in Training, Med Aide/Tech Hours]]</f>
        <v>0</v>
      </c>
      <c r="AG105" s="3">
        <v>125.98255555555556</v>
      </c>
      <c r="AH105" s="3">
        <v>0</v>
      </c>
      <c r="AI105" s="4">
        <f>Table39[[#This Row],[CNA Hours Contract]]/Table39[[#This Row],[CNA Hours]]</f>
        <v>0</v>
      </c>
      <c r="AJ105" s="3">
        <v>0</v>
      </c>
      <c r="AK105" s="3">
        <v>0</v>
      </c>
      <c r="AL105" s="4">
        <v>0</v>
      </c>
      <c r="AM105" s="3">
        <v>0</v>
      </c>
      <c r="AN105" s="3">
        <v>0</v>
      </c>
      <c r="AO105" s="4">
        <v>0</v>
      </c>
      <c r="AP105" s="1" t="s">
        <v>103</v>
      </c>
      <c r="AQ105" s="1">
        <v>10</v>
      </c>
    </row>
    <row r="106" spans="1:43" x14ac:dyDescent="0.2">
      <c r="A106" s="1" t="s">
        <v>128</v>
      </c>
      <c r="B106" s="1" t="s">
        <v>233</v>
      </c>
      <c r="C106" s="1" t="s">
        <v>312</v>
      </c>
      <c r="D106" s="1" t="s">
        <v>339</v>
      </c>
      <c r="E106" s="3">
        <v>39.966666666666669</v>
      </c>
      <c r="F106" s="3">
        <f t="shared" si="5"/>
        <v>195.79722222222222</v>
      </c>
      <c r="G106" s="3">
        <f>SUM(Table39[[#This Row],[RN Hours Contract (W/ Admin, DON)]], Table39[[#This Row],[LPN Contract Hours (w/ Admin)]], Table39[[#This Row],[CNA/NA/Med Aide Contract Hours]])</f>
        <v>13.705555555555556</v>
      </c>
      <c r="H106" s="4">
        <f>Table39[[#This Row],[Total Contract Hours]]/Table39[[#This Row],[Total Hours Nurse Staffing]]</f>
        <v>6.9998723168811269E-2</v>
      </c>
      <c r="I106" s="3">
        <f>SUM(Table39[[#This Row],[RN Hours]], Table39[[#This Row],[RN Admin Hours]], Table39[[#This Row],[RN DON Hours]])</f>
        <v>33.24722222222222</v>
      </c>
      <c r="J106" s="3">
        <f t="shared" si="6"/>
        <v>0</v>
      </c>
      <c r="K106" s="4">
        <f>Table39[[#This Row],[RN Hours Contract (W/ Admin, DON)]]/Table39[[#This Row],[RN Hours (w/ Admin, DON)]]</f>
        <v>0</v>
      </c>
      <c r="L106" s="3">
        <v>15.352777777777778</v>
      </c>
      <c r="M106" s="3">
        <v>0</v>
      </c>
      <c r="N106" s="4">
        <f>Table39[[#This Row],[RN Hours Contract]]/Table39[[#This Row],[RN Hours]]</f>
        <v>0</v>
      </c>
      <c r="O106" s="3">
        <v>12.294444444444444</v>
      </c>
      <c r="P106" s="3">
        <v>0</v>
      </c>
      <c r="Q106" s="4">
        <f>Table39[[#This Row],[RN Admin Hours Contract]]/Table39[[#This Row],[RN Admin Hours]]</f>
        <v>0</v>
      </c>
      <c r="R106" s="3">
        <v>5.6</v>
      </c>
      <c r="S106" s="3">
        <v>0</v>
      </c>
      <c r="T106" s="4">
        <f>Table39[[#This Row],[RN DON Hours Contract]]/Table39[[#This Row],[RN DON Hours]]</f>
        <v>0</v>
      </c>
      <c r="U106" s="3">
        <f>SUM(Table39[[#This Row],[LPN Hours]], Table39[[#This Row],[LPN Admin Hours]])</f>
        <v>35.214777777777776</v>
      </c>
      <c r="V106" s="3">
        <f>Table39[[#This Row],[LPN Hours Contract]]+Table39[[#This Row],[LPN Admin Hours Contract]]</f>
        <v>1.6</v>
      </c>
      <c r="W106" s="4">
        <f t="shared" si="7"/>
        <v>4.5435470588420901E-2</v>
      </c>
      <c r="X106" s="3">
        <v>35.214777777777776</v>
      </c>
      <c r="Y106" s="3">
        <v>1.6</v>
      </c>
      <c r="Z106" s="4">
        <f>Table39[[#This Row],[LPN Hours Contract]]/Table39[[#This Row],[LPN Hours]]</f>
        <v>4.5435470588420901E-2</v>
      </c>
      <c r="AA106" s="3">
        <v>0</v>
      </c>
      <c r="AB106" s="3">
        <v>0</v>
      </c>
      <c r="AC106" s="4">
        <v>0</v>
      </c>
      <c r="AD106" s="3">
        <f>SUM(Table39[[#This Row],[CNA Hours]], Table39[[#This Row],[NA in Training Hours]], Table39[[#This Row],[Med Aide/Tech Hours]])</f>
        <v>127.33522222222223</v>
      </c>
      <c r="AE106" s="3">
        <f>SUM(Table39[[#This Row],[CNA Hours Contract]], Table39[[#This Row],[NA in Training Hours Contract]], Table39[[#This Row],[Med Aide/Tech Hours Contract]])</f>
        <v>12.105555555555556</v>
      </c>
      <c r="AF106" s="4">
        <f>Table39[[#This Row],[CNA/NA/Med Aide Contract Hours]]/Table39[[#This Row],[Total CNA, NA in Training, Med Aide/Tech Hours]]</f>
        <v>9.5068397763732992E-2</v>
      </c>
      <c r="AG106" s="3">
        <v>85.821333333333328</v>
      </c>
      <c r="AH106" s="3">
        <v>12.105555555555556</v>
      </c>
      <c r="AI106" s="4">
        <f>Table39[[#This Row],[CNA Hours Contract]]/Table39[[#This Row],[CNA Hours]]</f>
        <v>0.1410553190607878</v>
      </c>
      <c r="AJ106" s="3">
        <v>28.81111111111111</v>
      </c>
      <c r="AK106" s="3">
        <v>0</v>
      </c>
      <c r="AL106" s="4">
        <f>Table39[[#This Row],[NA in Training Hours Contract]]/Table39[[#This Row],[NA in Training Hours]]</f>
        <v>0</v>
      </c>
      <c r="AM106" s="3">
        <v>12.702777777777778</v>
      </c>
      <c r="AN106" s="3">
        <v>0</v>
      </c>
      <c r="AO106" s="4">
        <f>Table39[[#This Row],[Med Aide/Tech Hours Contract]]/Table39[[#This Row],[Med Aide/Tech Hours]]</f>
        <v>0</v>
      </c>
      <c r="AP106" s="1" t="s">
        <v>104</v>
      </c>
      <c r="AQ106" s="1">
        <v>10</v>
      </c>
    </row>
    <row r="107" spans="1:43" x14ac:dyDescent="0.2">
      <c r="A107" s="1" t="s">
        <v>128</v>
      </c>
      <c r="B107" s="1" t="s">
        <v>234</v>
      </c>
      <c r="C107" s="1" t="s">
        <v>263</v>
      </c>
      <c r="D107" s="1" t="s">
        <v>334</v>
      </c>
      <c r="E107" s="3">
        <v>50.244444444444447</v>
      </c>
      <c r="F107" s="3">
        <f t="shared" si="5"/>
        <v>221.20611111111111</v>
      </c>
      <c r="G107" s="3">
        <f>SUM(Table39[[#This Row],[RN Hours Contract (W/ Admin, DON)]], Table39[[#This Row],[LPN Contract Hours (w/ Admin)]], Table39[[#This Row],[CNA/NA/Med Aide Contract Hours]])</f>
        <v>3.6888888888888887</v>
      </c>
      <c r="H107" s="4">
        <f>Table39[[#This Row],[Total Contract Hours]]/Table39[[#This Row],[Total Hours Nurse Staffing]]</f>
        <v>1.6676252163015385E-2</v>
      </c>
      <c r="I107" s="3">
        <f>SUM(Table39[[#This Row],[RN Hours]], Table39[[#This Row],[RN Admin Hours]], Table39[[#This Row],[RN DON Hours]])</f>
        <v>19.261111111111113</v>
      </c>
      <c r="J107" s="3">
        <f t="shared" si="6"/>
        <v>0.4</v>
      </c>
      <c r="K107" s="4">
        <f>Table39[[#This Row],[RN Hours Contract (W/ Admin, DON)]]/Table39[[#This Row],[RN Hours (w/ Admin, DON)]]</f>
        <v>2.07672339198154E-2</v>
      </c>
      <c r="L107" s="3">
        <v>4.6638888888888888</v>
      </c>
      <c r="M107" s="3">
        <v>0.4</v>
      </c>
      <c r="N107" s="4">
        <f>Table39[[#This Row],[RN Hours Contract]]/Table39[[#This Row],[RN Hours]]</f>
        <v>8.5765336509827289E-2</v>
      </c>
      <c r="O107" s="3">
        <v>8.9972222222222218</v>
      </c>
      <c r="P107" s="3">
        <v>0</v>
      </c>
      <c r="Q107" s="4">
        <f>Table39[[#This Row],[RN Admin Hours Contract]]/Table39[[#This Row],[RN Admin Hours]]</f>
        <v>0</v>
      </c>
      <c r="R107" s="3">
        <v>5.6</v>
      </c>
      <c r="S107" s="3">
        <v>0</v>
      </c>
      <c r="T107" s="4">
        <f>Table39[[#This Row],[RN DON Hours Contract]]/Table39[[#This Row],[RN DON Hours]]</f>
        <v>0</v>
      </c>
      <c r="U107" s="3">
        <f>SUM(Table39[[#This Row],[LPN Hours]], Table39[[#This Row],[LPN Admin Hours]])</f>
        <v>44.008111111111113</v>
      </c>
      <c r="V107" s="3">
        <f>Table39[[#This Row],[LPN Hours Contract]]+Table39[[#This Row],[LPN Admin Hours Contract]]</f>
        <v>2.1333333333333333</v>
      </c>
      <c r="W107" s="4">
        <f t="shared" si="7"/>
        <v>4.8475912268697942E-2</v>
      </c>
      <c r="X107" s="3">
        <v>38.785888888888891</v>
      </c>
      <c r="Y107" s="3">
        <v>2.1333333333333333</v>
      </c>
      <c r="Z107" s="4">
        <f>Table39[[#This Row],[LPN Hours Contract]]/Table39[[#This Row],[LPN Hours]]</f>
        <v>5.5002821759345462E-2</v>
      </c>
      <c r="AA107" s="3">
        <v>5.2222222222222223</v>
      </c>
      <c r="AB107" s="3">
        <v>0</v>
      </c>
      <c r="AC107" s="4">
        <f>Table39[[#This Row],[LPN Admin Hours Contract]]/Table39[[#This Row],[LPN Admin Hours]]</f>
        <v>0</v>
      </c>
      <c r="AD107" s="3">
        <f>SUM(Table39[[#This Row],[CNA Hours]], Table39[[#This Row],[NA in Training Hours]], Table39[[#This Row],[Med Aide/Tech Hours]])</f>
        <v>157.93688888888889</v>
      </c>
      <c r="AE107" s="3">
        <f>SUM(Table39[[#This Row],[CNA Hours Contract]], Table39[[#This Row],[NA in Training Hours Contract]], Table39[[#This Row],[Med Aide/Tech Hours Contract]])</f>
        <v>1.1555555555555554</v>
      </c>
      <c r="AF107" s="4">
        <f>Table39[[#This Row],[CNA/NA/Med Aide Contract Hours]]/Table39[[#This Row],[Total CNA, NA in Training, Med Aide/Tech Hours]]</f>
        <v>7.3165652665762408E-3</v>
      </c>
      <c r="AG107" s="3">
        <v>129.45633333333333</v>
      </c>
      <c r="AH107" s="3">
        <v>1.1555555555555554</v>
      </c>
      <c r="AI107" s="4">
        <f>Table39[[#This Row],[CNA Hours Contract]]/Table39[[#This Row],[CNA Hours]]</f>
        <v>8.9262187936386943E-3</v>
      </c>
      <c r="AJ107" s="3">
        <v>0</v>
      </c>
      <c r="AK107" s="3">
        <v>0</v>
      </c>
      <c r="AL107" s="4">
        <v>0</v>
      </c>
      <c r="AM107" s="3">
        <v>28.480555555555554</v>
      </c>
      <c r="AN107" s="3">
        <v>0</v>
      </c>
      <c r="AO107" s="4">
        <f>Table39[[#This Row],[Med Aide/Tech Hours Contract]]/Table39[[#This Row],[Med Aide/Tech Hours]]</f>
        <v>0</v>
      </c>
      <c r="AP107" s="1" t="s">
        <v>105</v>
      </c>
      <c r="AQ107" s="1">
        <v>10</v>
      </c>
    </row>
    <row r="108" spans="1:43" x14ac:dyDescent="0.2">
      <c r="A108" s="1" t="s">
        <v>128</v>
      </c>
      <c r="B108" s="1" t="s">
        <v>235</v>
      </c>
      <c r="C108" s="1" t="s">
        <v>298</v>
      </c>
      <c r="D108" s="1" t="s">
        <v>344</v>
      </c>
      <c r="E108" s="3">
        <v>15.444444444444445</v>
      </c>
      <c r="F108" s="3">
        <f t="shared" si="5"/>
        <v>110.21000000000001</v>
      </c>
      <c r="G108" s="3">
        <f>SUM(Table39[[#This Row],[RN Hours Contract (W/ Admin, DON)]], Table39[[#This Row],[LPN Contract Hours (w/ Admin)]], Table39[[#This Row],[CNA/NA/Med Aide Contract Hours]])</f>
        <v>7.1055555555555552</v>
      </c>
      <c r="H108" s="4">
        <f>Table39[[#This Row],[Total Contract Hours]]/Table39[[#This Row],[Total Hours Nurse Staffing]]</f>
        <v>6.4472875016382852E-2</v>
      </c>
      <c r="I108" s="3">
        <f>SUM(Table39[[#This Row],[RN Hours]], Table39[[#This Row],[RN Admin Hours]], Table39[[#This Row],[RN DON Hours]])</f>
        <v>21.162777777777777</v>
      </c>
      <c r="J108" s="3">
        <f t="shared" si="6"/>
        <v>0.66666666666666663</v>
      </c>
      <c r="K108" s="4">
        <f>Table39[[#This Row],[RN Hours Contract (W/ Admin, DON)]]/Table39[[#This Row],[RN Hours (w/ Admin, DON)]]</f>
        <v>3.1501850733730609E-2</v>
      </c>
      <c r="L108" s="3">
        <v>10.425000000000001</v>
      </c>
      <c r="M108" s="3">
        <v>0.66666666666666663</v>
      </c>
      <c r="N108" s="4">
        <f>Table39[[#This Row],[RN Hours Contract]]/Table39[[#This Row],[RN Hours]]</f>
        <v>6.394884092725818E-2</v>
      </c>
      <c r="O108" s="3">
        <v>6.471111111111111</v>
      </c>
      <c r="P108" s="3">
        <v>0</v>
      </c>
      <c r="Q108" s="4">
        <f>Table39[[#This Row],[RN Admin Hours Contract]]/Table39[[#This Row],[RN Admin Hours]]</f>
        <v>0</v>
      </c>
      <c r="R108" s="3">
        <v>4.2666666666666666</v>
      </c>
      <c r="S108" s="3">
        <v>0</v>
      </c>
      <c r="T108" s="4">
        <f>Table39[[#This Row],[RN DON Hours Contract]]/Table39[[#This Row],[RN DON Hours]]</f>
        <v>0</v>
      </c>
      <c r="U108" s="3">
        <f>SUM(Table39[[#This Row],[LPN Hours]], Table39[[#This Row],[LPN Admin Hours]])</f>
        <v>29.577777777777779</v>
      </c>
      <c r="V108" s="3">
        <f>Table39[[#This Row],[LPN Hours Contract]]+Table39[[#This Row],[LPN Admin Hours Contract]]</f>
        <v>2.9249999999999998</v>
      </c>
      <c r="W108" s="4">
        <f t="shared" si="7"/>
        <v>9.8891810668670158E-2</v>
      </c>
      <c r="X108" s="3">
        <v>29.577777777777779</v>
      </c>
      <c r="Y108" s="3">
        <v>2.9249999999999998</v>
      </c>
      <c r="Z108" s="4">
        <f>Table39[[#This Row],[LPN Hours Contract]]/Table39[[#This Row],[LPN Hours]]</f>
        <v>9.8891810668670158E-2</v>
      </c>
      <c r="AA108" s="3">
        <v>0</v>
      </c>
      <c r="AB108" s="3">
        <v>0</v>
      </c>
      <c r="AC108" s="4">
        <v>0</v>
      </c>
      <c r="AD108" s="3">
        <f>SUM(Table39[[#This Row],[CNA Hours]], Table39[[#This Row],[NA in Training Hours]], Table39[[#This Row],[Med Aide/Tech Hours]])</f>
        <v>59.469444444444441</v>
      </c>
      <c r="AE108" s="3">
        <f>SUM(Table39[[#This Row],[CNA Hours Contract]], Table39[[#This Row],[NA in Training Hours Contract]], Table39[[#This Row],[Med Aide/Tech Hours Contract]])</f>
        <v>3.5138888888888888</v>
      </c>
      <c r="AF108" s="4">
        <f>Table39[[#This Row],[CNA/NA/Med Aide Contract Hours]]/Table39[[#This Row],[Total CNA, NA in Training, Med Aide/Tech Hours]]</f>
        <v>5.9087299733756836E-2</v>
      </c>
      <c r="AG108" s="3">
        <v>55.097222222222221</v>
      </c>
      <c r="AH108" s="3">
        <v>3.5138888888888888</v>
      </c>
      <c r="AI108" s="4">
        <f>Table39[[#This Row],[CNA Hours Contract]]/Table39[[#This Row],[CNA Hours]]</f>
        <v>6.3776153264431562E-2</v>
      </c>
      <c r="AJ108" s="3">
        <v>0</v>
      </c>
      <c r="AK108" s="3">
        <v>0</v>
      </c>
      <c r="AL108" s="4">
        <v>0</v>
      </c>
      <c r="AM108" s="3">
        <v>4.3722222222222218</v>
      </c>
      <c r="AN108" s="3">
        <v>0</v>
      </c>
      <c r="AO108" s="4">
        <f>Table39[[#This Row],[Med Aide/Tech Hours Contract]]/Table39[[#This Row],[Med Aide/Tech Hours]]</f>
        <v>0</v>
      </c>
      <c r="AP108" s="1" t="s">
        <v>106</v>
      </c>
      <c r="AQ108" s="1">
        <v>10</v>
      </c>
    </row>
    <row r="109" spans="1:43" x14ac:dyDescent="0.2">
      <c r="A109" s="1" t="s">
        <v>128</v>
      </c>
      <c r="B109" s="1" t="s">
        <v>236</v>
      </c>
      <c r="C109" s="1" t="s">
        <v>302</v>
      </c>
      <c r="D109" s="1" t="s">
        <v>339</v>
      </c>
      <c r="E109" s="3">
        <v>68.688888888888883</v>
      </c>
      <c r="F109" s="3">
        <f t="shared" si="5"/>
        <v>297.32666666666671</v>
      </c>
      <c r="G109" s="3">
        <f>SUM(Table39[[#This Row],[RN Hours Contract (W/ Admin, DON)]], Table39[[#This Row],[LPN Contract Hours (w/ Admin)]], Table39[[#This Row],[CNA/NA/Med Aide Contract Hours]])</f>
        <v>1.411</v>
      </c>
      <c r="H109" s="4">
        <f>Table39[[#This Row],[Total Contract Hours]]/Table39[[#This Row],[Total Hours Nurse Staffing]]</f>
        <v>4.7456220991502042E-3</v>
      </c>
      <c r="I109" s="3">
        <f>SUM(Table39[[#This Row],[RN Hours]], Table39[[#This Row],[RN Admin Hours]], Table39[[#This Row],[RN DON Hours]])</f>
        <v>49.665999999999997</v>
      </c>
      <c r="J109" s="3">
        <f t="shared" si="6"/>
        <v>0</v>
      </c>
      <c r="K109" s="4">
        <f>Table39[[#This Row],[RN Hours Contract (W/ Admin, DON)]]/Table39[[#This Row],[RN Hours (w/ Admin, DON)]]</f>
        <v>0</v>
      </c>
      <c r="L109" s="3">
        <v>37.843555555555554</v>
      </c>
      <c r="M109" s="3">
        <v>0</v>
      </c>
      <c r="N109" s="4">
        <f>Table39[[#This Row],[RN Hours Contract]]/Table39[[#This Row],[RN Hours]]</f>
        <v>0</v>
      </c>
      <c r="O109" s="3">
        <v>6.2057777777777785</v>
      </c>
      <c r="P109" s="3">
        <v>0</v>
      </c>
      <c r="Q109" s="4">
        <f>Table39[[#This Row],[RN Admin Hours Contract]]/Table39[[#This Row],[RN Admin Hours]]</f>
        <v>0</v>
      </c>
      <c r="R109" s="3">
        <v>5.6166666666666663</v>
      </c>
      <c r="S109" s="3">
        <v>0</v>
      </c>
      <c r="T109" s="4">
        <f>Table39[[#This Row],[RN DON Hours Contract]]/Table39[[#This Row],[RN DON Hours]]</f>
        <v>0</v>
      </c>
      <c r="U109" s="3">
        <f>SUM(Table39[[#This Row],[LPN Hours]], Table39[[#This Row],[LPN Admin Hours]])</f>
        <v>70.669555555555547</v>
      </c>
      <c r="V109" s="3">
        <f>Table39[[#This Row],[LPN Hours Contract]]+Table39[[#This Row],[LPN Admin Hours Contract]]</f>
        <v>0</v>
      </c>
      <c r="W109" s="4">
        <f t="shared" si="7"/>
        <v>0</v>
      </c>
      <c r="X109" s="3">
        <v>51.913222222222217</v>
      </c>
      <c r="Y109" s="3">
        <v>0</v>
      </c>
      <c r="Z109" s="4">
        <f>Table39[[#This Row],[LPN Hours Contract]]/Table39[[#This Row],[LPN Hours]]</f>
        <v>0</v>
      </c>
      <c r="AA109" s="3">
        <v>18.756333333333334</v>
      </c>
      <c r="AB109" s="3">
        <v>0</v>
      </c>
      <c r="AC109" s="4">
        <f>Table39[[#This Row],[LPN Admin Hours Contract]]/Table39[[#This Row],[LPN Admin Hours]]</f>
        <v>0</v>
      </c>
      <c r="AD109" s="3">
        <f>SUM(Table39[[#This Row],[CNA Hours]], Table39[[#This Row],[NA in Training Hours]], Table39[[#This Row],[Med Aide/Tech Hours]])</f>
        <v>176.99111111111114</v>
      </c>
      <c r="AE109" s="3">
        <f>SUM(Table39[[#This Row],[CNA Hours Contract]], Table39[[#This Row],[NA in Training Hours Contract]], Table39[[#This Row],[Med Aide/Tech Hours Contract]])</f>
        <v>1.411</v>
      </c>
      <c r="AF109" s="4">
        <f>Table39[[#This Row],[CNA/NA/Med Aide Contract Hours]]/Table39[[#This Row],[Total CNA, NA in Training, Med Aide/Tech Hours]]</f>
        <v>7.9721517715892823E-3</v>
      </c>
      <c r="AG109" s="3">
        <v>140.09288888888889</v>
      </c>
      <c r="AH109" s="3">
        <v>1.411</v>
      </c>
      <c r="AI109" s="4">
        <f>Table39[[#This Row],[CNA Hours Contract]]/Table39[[#This Row],[CNA Hours]]</f>
        <v>1.0071888810281432E-2</v>
      </c>
      <c r="AJ109" s="3">
        <v>22.610111111111124</v>
      </c>
      <c r="AK109" s="3">
        <v>0</v>
      </c>
      <c r="AL109" s="4">
        <f>Table39[[#This Row],[NA in Training Hours Contract]]/Table39[[#This Row],[NA in Training Hours]]</f>
        <v>0</v>
      </c>
      <c r="AM109" s="3">
        <v>14.288111111111114</v>
      </c>
      <c r="AN109" s="3">
        <v>0</v>
      </c>
      <c r="AO109" s="4">
        <f>Table39[[#This Row],[Med Aide/Tech Hours Contract]]/Table39[[#This Row],[Med Aide/Tech Hours]]</f>
        <v>0</v>
      </c>
      <c r="AP109" s="1" t="s">
        <v>107</v>
      </c>
      <c r="AQ109" s="1">
        <v>10</v>
      </c>
    </row>
    <row r="110" spans="1:43" x14ac:dyDescent="0.2">
      <c r="A110" s="1" t="s">
        <v>128</v>
      </c>
      <c r="B110" s="1" t="s">
        <v>237</v>
      </c>
      <c r="C110" s="1" t="s">
        <v>313</v>
      </c>
      <c r="D110" s="1" t="s">
        <v>339</v>
      </c>
      <c r="E110" s="3">
        <v>21.722222222222221</v>
      </c>
      <c r="F110" s="3">
        <f t="shared" si="5"/>
        <v>171.01944444444445</v>
      </c>
      <c r="G110" s="3">
        <f>SUM(Table39[[#This Row],[RN Hours Contract (W/ Admin, DON)]], Table39[[#This Row],[LPN Contract Hours (w/ Admin)]], Table39[[#This Row],[CNA/NA/Med Aide Contract Hours]])</f>
        <v>0</v>
      </c>
      <c r="H110" s="4">
        <f>Table39[[#This Row],[Total Contract Hours]]/Table39[[#This Row],[Total Hours Nurse Staffing]]</f>
        <v>0</v>
      </c>
      <c r="I110" s="3">
        <f>SUM(Table39[[#This Row],[RN Hours]], Table39[[#This Row],[RN Admin Hours]], Table39[[#This Row],[RN DON Hours]])</f>
        <v>48.755555555555553</v>
      </c>
      <c r="J110" s="3">
        <f t="shared" si="6"/>
        <v>0</v>
      </c>
      <c r="K110" s="4">
        <f>Table39[[#This Row],[RN Hours Contract (W/ Admin, DON)]]/Table39[[#This Row],[RN Hours (w/ Admin, DON)]]</f>
        <v>0</v>
      </c>
      <c r="L110" s="3">
        <v>39.513888888888886</v>
      </c>
      <c r="M110" s="3">
        <v>0</v>
      </c>
      <c r="N110" s="4">
        <f>Table39[[#This Row],[RN Hours Contract]]/Table39[[#This Row],[RN Hours]]</f>
        <v>0</v>
      </c>
      <c r="O110" s="3">
        <v>3.7305555555555556</v>
      </c>
      <c r="P110" s="3">
        <v>0</v>
      </c>
      <c r="Q110" s="4">
        <f>Table39[[#This Row],[RN Admin Hours Contract]]/Table39[[#This Row],[RN Admin Hours]]</f>
        <v>0</v>
      </c>
      <c r="R110" s="3">
        <v>5.5111111111111111</v>
      </c>
      <c r="S110" s="3">
        <v>0</v>
      </c>
      <c r="T110" s="4">
        <f>Table39[[#This Row],[RN DON Hours Contract]]/Table39[[#This Row],[RN DON Hours]]</f>
        <v>0</v>
      </c>
      <c r="U110" s="3">
        <f>SUM(Table39[[#This Row],[LPN Hours]], Table39[[#This Row],[LPN Admin Hours]])</f>
        <v>47.161111111111111</v>
      </c>
      <c r="V110" s="3">
        <f>Table39[[#This Row],[LPN Hours Contract]]+Table39[[#This Row],[LPN Admin Hours Contract]]</f>
        <v>0</v>
      </c>
      <c r="W110" s="4">
        <f t="shared" si="7"/>
        <v>0</v>
      </c>
      <c r="X110" s="3">
        <v>38.894444444444446</v>
      </c>
      <c r="Y110" s="3">
        <v>0</v>
      </c>
      <c r="Z110" s="4">
        <f>Table39[[#This Row],[LPN Hours Contract]]/Table39[[#This Row],[LPN Hours]]</f>
        <v>0</v>
      </c>
      <c r="AA110" s="3">
        <v>8.2666666666666675</v>
      </c>
      <c r="AB110" s="3">
        <v>0</v>
      </c>
      <c r="AC110" s="4">
        <f>Table39[[#This Row],[LPN Admin Hours Contract]]/Table39[[#This Row],[LPN Admin Hours]]</f>
        <v>0</v>
      </c>
      <c r="AD110" s="3">
        <f>SUM(Table39[[#This Row],[CNA Hours]], Table39[[#This Row],[NA in Training Hours]], Table39[[#This Row],[Med Aide/Tech Hours]])</f>
        <v>75.102777777777774</v>
      </c>
      <c r="AE110" s="3">
        <f>SUM(Table39[[#This Row],[CNA Hours Contract]], Table39[[#This Row],[NA in Training Hours Contract]], Table39[[#This Row],[Med Aide/Tech Hours Contract]])</f>
        <v>0</v>
      </c>
      <c r="AF110" s="4">
        <f>Table39[[#This Row],[CNA/NA/Med Aide Contract Hours]]/Table39[[#This Row],[Total CNA, NA in Training, Med Aide/Tech Hours]]</f>
        <v>0</v>
      </c>
      <c r="AG110" s="3">
        <v>69.108333333333334</v>
      </c>
      <c r="AH110" s="3">
        <v>0</v>
      </c>
      <c r="AI110" s="4">
        <f>Table39[[#This Row],[CNA Hours Contract]]/Table39[[#This Row],[CNA Hours]]</f>
        <v>0</v>
      </c>
      <c r="AJ110" s="3">
        <v>0</v>
      </c>
      <c r="AK110" s="3">
        <v>0</v>
      </c>
      <c r="AL110" s="4">
        <v>0</v>
      </c>
      <c r="AM110" s="3">
        <v>5.9944444444444445</v>
      </c>
      <c r="AN110" s="3">
        <v>0</v>
      </c>
      <c r="AO110" s="4">
        <f>Table39[[#This Row],[Med Aide/Tech Hours Contract]]/Table39[[#This Row],[Med Aide/Tech Hours]]</f>
        <v>0</v>
      </c>
      <c r="AP110" s="1" t="s">
        <v>108</v>
      </c>
      <c r="AQ110" s="1">
        <v>10</v>
      </c>
    </row>
    <row r="111" spans="1:43" x14ac:dyDescent="0.2">
      <c r="A111" s="1" t="s">
        <v>128</v>
      </c>
      <c r="B111" s="1" t="s">
        <v>238</v>
      </c>
      <c r="C111" s="1" t="s">
        <v>287</v>
      </c>
      <c r="D111" s="1" t="s">
        <v>321</v>
      </c>
      <c r="E111" s="3">
        <v>49.866666666666667</v>
      </c>
      <c r="F111" s="3">
        <f t="shared" si="5"/>
        <v>192.42488888888892</v>
      </c>
      <c r="G111" s="3">
        <f>SUM(Table39[[#This Row],[RN Hours Contract (W/ Admin, DON)]], Table39[[#This Row],[LPN Contract Hours (w/ Admin)]], Table39[[#This Row],[CNA/NA/Med Aide Contract Hours]])</f>
        <v>0.96122222222222231</v>
      </c>
      <c r="H111" s="4">
        <f>Table39[[#This Row],[Total Contract Hours]]/Table39[[#This Row],[Total Hours Nurse Staffing]]</f>
        <v>4.9953113018412956E-3</v>
      </c>
      <c r="I111" s="3">
        <f>SUM(Table39[[#This Row],[RN Hours]], Table39[[#This Row],[RN Admin Hours]], Table39[[#This Row],[RN DON Hours]])</f>
        <v>36.592888888888893</v>
      </c>
      <c r="J111" s="3">
        <f t="shared" si="6"/>
        <v>0.52688888888888896</v>
      </c>
      <c r="K111" s="4">
        <f>Table39[[#This Row],[RN Hours Contract (W/ Admin, DON)]]/Table39[[#This Row],[RN Hours (w/ Admin, DON)]]</f>
        <v>1.4398668836689582E-2</v>
      </c>
      <c r="L111" s="3">
        <v>26.239444444444448</v>
      </c>
      <c r="M111" s="3">
        <v>0.52688888888888896</v>
      </c>
      <c r="N111" s="4">
        <f>Table39[[#This Row],[RN Hours Contract]]/Table39[[#This Row],[RN Hours]]</f>
        <v>2.0080032182253182E-2</v>
      </c>
      <c r="O111" s="3">
        <v>4.6645555555555553</v>
      </c>
      <c r="P111" s="3">
        <v>0</v>
      </c>
      <c r="Q111" s="4">
        <f>Table39[[#This Row],[RN Admin Hours Contract]]/Table39[[#This Row],[RN Admin Hours]]</f>
        <v>0</v>
      </c>
      <c r="R111" s="3">
        <v>5.6888888888888891</v>
      </c>
      <c r="S111" s="3">
        <v>0</v>
      </c>
      <c r="T111" s="4">
        <f>Table39[[#This Row],[RN DON Hours Contract]]/Table39[[#This Row],[RN DON Hours]]</f>
        <v>0</v>
      </c>
      <c r="U111" s="3">
        <f>SUM(Table39[[#This Row],[LPN Hours]], Table39[[#This Row],[LPN Admin Hours]])</f>
        <v>32.275222222222219</v>
      </c>
      <c r="V111" s="3">
        <f>Table39[[#This Row],[LPN Hours Contract]]+Table39[[#This Row],[LPN Admin Hours Contract]]</f>
        <v>0.43433333333333335</v>
      </c>
      <c r="W111" s="4">
        <f t="shared" si="7"/>
        <v>1.3457175611149938E-2</v>
      </c>
      <c r="X111" s="3">
        <v>32.275222222222219</v>
      </c>
      <c r="Y111" s="3">
        <v>0.43433333333333335</v>
      </c>
      <c r="Z111" s="4">
        <f>Table39[[#This Row],[LPN Hours Contract]]/Table39[[#This Row],[LPN Hours]]</f>
        <v>1.3457175611149938E-2</v>
      </c>
      <c r="AA111" s="3">
        <v>0</v>
      </c>
      <c r="AB111" s="3">
        <v>0</v>
      </c>
      <c r="AC111" s="4">
        <v>0</v>
      </c>
      <c r="AD111" s="3">
        <f>SUM(Table39[[#This Row],[CNA Hours]], Table39[[#This Row],[NA in Training Hours]], Table39[[#This Row],[Med Aide/Tech Hours]])</f>
        <v>123.55677777777778</v>
      </c>
      <c r="AE111" s="3">
        <f>SUM(Table39[[#This Row],[CNA Hours Contract]], Table39[[#This Row],[NA in Training Hours Contract]], Table39[[#This Row],[Med Aide/Tech Hours Contract]])</f>
        <v>0</v>
      </c>
      <c r="AF111" s="4">
        <f>Table39[[#This Row],[CNA/NA/Med Aide Contract Hours]]/Table39[[#This Row],[Total CNA, NA in Training, Med Aide/Tech Hours]]</f>
        <v>0</v>
      </c>
      <c r="AG111" s="3">
        <v>106.22055555555556</v>
      </c>
      <c r="AH111" s="3">
        <v>0</v>
      </c>
      <c r="AI111" s="4">
        <f>Table39[[#This Row],[CNA Hours Contract]]/Table39[[#This Row],[CNA Hours]]</f>
        <v>0</v>
      </c>
      <c r="AJ111" s="3">
        <v>6.4549999999999983</v>
      </c>
      <c r="AK111" s="3">
        <v>0</v>
      </c>
      <c r="AL111" s="4">
        <f>Table39[[#This Row],[NA in Training Hours Contract]]/Table39[[#This Row],[NA in Training Hours]]</f>
        <v>0</v>
      </c>
      <c r="AM111" s="3">
        <v>10.881222222222222</v>
      </c>
      <c r="AN111" s="3">
        <v>0</v>
      </c>
      <c r="AO111" s="4">
        <f>Table39[[#This Row],[Med Aide/Tech Hours Contract]]/Table39[[#This Row],[Med Aide/Tech Hours]]</f>
        <v>0</v>
      </c>
      <c r="AP111" s="1" t="s">
        <v>109</v>
      </c>
      <c r="AQ111" s="1">
        <v>10</v>
      </c>
    </row>
    <row r="112" spans="1:43" x14ac:dyDescent="0.2">
      <c r="A112" s="1" t="s">
        <v>128</v>
      </c>
      <c r="B112" s="1" t="s">
        <v>239</v>
      </c>
      <c r="C112" s="1" t="s">
        <v>314</v>
      </c>
      <c r="D112" s="1" t="s">
        <v>347</v>
      </c>
      <c r="E112" s="3">
        <v>22.922222222222221</v>
      </c>
      <c r="F112" s="3">
        <f t="shared" si="5"/>
        <v>113.30066666666667</v>
      </c>
      <c r="G112" s="3">
        <f>SUM(Table39[[#This Row],[RN Hours Contract (W/ Admin, DON)]], Table39[[#This Row],[LPN Contract Hours (w/ Admin)]], Table39[[#This Row],[CNA/NA/Med Aide Contract Hours]])</f>
        <v>0</v>
      </c>
      <c r="H112" s="4">
        <f>Table39[[#This Row],[Total Contract Hours]]/Table39[[#This Row],[Total Hours Nurse Staffing]]</f>
        <v>0</v>
      </c>
      <c r="I112" s="3">
        <f>SUM(Table39[[#This Row],[RN Hours]], Table39[[#This Row],[RN Admin Hours]], Table39[[#This Row],[RN DON Hours]])</f>
        <v>37.969222222222228</v>
      </c>
      <c r="J112" s="3">
        <f t="shared" si="6"/>
        <v>0</v>
      </c>
      <c r="K112" s="4">
        <f>Table39[[#This Row],[RN Hours Contract (W/ Admin, DON)]]/Table39[[#This Row],[RN Hours (w/ Admin, DON)]]</f>
        <v>0</v>
      </c>
      <c r="L112" s="3">
        <v>27.288666666666668</v>
      </c>
      <c r="M112" s="3">
        <v>0</v>
      </c>
      <c r="N112" s="4">
        <f>Table39[[#This Row],[RN Hours Contract]]/Table39[[#This Row],[RN Hours]]</f>
        <v>0</v>
      </c>
      <c r="O112" s="3">
        <v>5.302777777777778</v>
      </c>
      <c r="P112" s="3">
        <v>0</v>
      </c>
      <c r="Q112" s="4">
        <f>Table39[[#This Row],[RN Admin Hours Contract]]/Table39[[#This Row],[RN Admin Hours]]</f>
        <v>0</v>
      </c>
      <c r="R112" s="3">
        <v>5.3777777777777782</v>
      </c>
      <c r="S112" s="3">
        <v>0</v>
      </c>
      <c r="T112" s="4">
        <f>Table39[[#This Row],[RN DON Hours Contract]]/Table39[[#This Row],[RN DON Hours]]</f>
        <v>0</v>
      </c>
      <c r="U112" s="3">
        <f>SUM(Table39[[#This Row],[LPN Hours]], Table39[[#This Row],[LPN Admin Hours]])</f>
        <v>8.6916666666666664</v>
      </c>
      <c r="V112" s="3">
        <f>Table39[[#This Row],[LPN Hours Contract]]+Table39[[#This Row],[LPN Admin Hours Contract]]</f>
        <v>0</v>
      </c>
      <c r="W112" s="4">
        <f t="shared" si="7"/>
        <v>0</v>
      </c>
      <c r="X112" s="3">
        <v>8.6916666666666664</v>
      </c>
      <c r="Y112" s="3">
        <v>0</v>
      </c>
      <c r="Z112" s="4">
        <f>Table39[[#This Row],[LPN Hours Contract]]/Table39[[#This Row],[LPN Hours]]</f>
        <v>0</v>
      </c>
      <c r="AA112" s="3">
        <v>0</v>
      </c>
      <c r="AB112" s="3">
        <v>0</v>
      </c>
      <c r="AC112" s="4">
        <v>0</v>
      </c>
      <c r="AD112" s="3">
        <f>SUM(Table39[[#This Row],[CNA Hours]], Table39[[#This Row],[NA in Training Hours]], Table39[[#This Row],[Med Aide/Tech Hours]])</f>
        <v>66.63977777777778</v>
      </c>
      <c r="AE112" s="3">
        <f>SUM(Table39[[#This Row],[CNA Hours Contract]], Table39[[#This Row],[NA in Training Hours Contract]], Table39[[#This Row],[Med Aide/Tech Hours Contract]])</f>
        <v>0</v>
      </c>
      <c r="AF112" s="4">
        <f>Table39[[#This Row],[CNA/NA/Med Aide Contract Hours]]/Table39[[#This Row],[Total CNA, NA in Training, Med Aide/Tech Hours]]</f>
        <v>0</v>
      </c>
      <c r="AG112" s="3">
        <v>66.63977777777778</v>
      </c>
      <c r="AH112" s="3">
        <v>0</v>
      </c>
      <c r="AI112" s="4">
        <f>Table39[[#This Row],[CNA Hours Contract]]/Table39[[#This Row],[CNA Hours]]</f>
        <v>0</v>
      </c>
      <c r="AJ112" s="3">
        <v>0</v>
      </c>
      <c r="AK112" s="3">
        <v>0</v>
      </c>
      <c r="AL112" s="4">
        <v>0</v>
      </c>
      <c r="AM112" s="3">
        <v>0</v>
      </c>
      <c r="AN112" s="3">
        <v>0</v>
      </c>
      <c r="AO112" s="4">
        <v>0</v>
      </c>
      <c r="AP112" s="1" t="s">
        <v>110</v>
      </c>
      <c r="AQ112" s="1">
        <v>10</v>
      </c>
    </row>
    <row r="113" spans="1:43" x14ac:dyDescent="0.2">
      <c r="A113" s="1" t="s">
        <v>128</v>
      </c>
      <c r="B113" s="1" t="s">
        <v>240</v>
      </c>
      <c r="C113" s="1" t="s">
        <v>263</v>
      </c>
      <c r="D113" s="1" t="s">
        <v>334</v>
      </c>
      <c r="E113" s="3">
        <v>30.3</v>
      </c>
      <c r="F113" s="3">
        <f t="shared" si="5"/>
        <v>194.24044444444445</v>
      </c>
      <c r="G113" s="3">
        <f>SUM(Table39[[#This Row],[RN Hours Contract (W/ Admin, DON)]], Table39[[#This Row],[LPN Contract Hours (w/ Admin)]], Table39[[#This Row],[CNA/NA/Med Aide Contract Hours]])</f>
        <v>0</v>
      </c>
      <c r="H113" s="4">
        <f>Table39[[#This Row],[Total Contract Hours]]/Table39[[#This Row],[Total Hours Nurse Staffing]]</f>
        <v>0</v>
      </c>
      <c r="I113" s="3">
        <f>SUM(Table39[[#This Row],[RN Hours]], Table39[[#This Row],[RN Admin Hours]], Table39[[#This Row],[RN DON Hours]])</f>
        <v>57.599333333333334</v>
      </c>
      <c r="J113" s="3">
        <f t="shared" si="6"/>
        <v>0</v>
      </c>
      <c r="K113" s="4">
        <f>Table39[[#This Row],[RN Hours Contract (W/ Admin, DON)]]/Table39[[#This Row],[RN Hours (w/ Admin, DON)]]</f>
        <v>0</v>
      </c>
      <c r="L113" s="3">
        <v>37.282666666666664</v>
      </c>
      <c r="M113" s="3">
        <v>0</v>
      </c>
      <c r="N113" s="4">
        <f>Table39[[#This Row],[RN Hours Contract]]/Table39[[#This Row],[RN Hours]]</f>
        <v>0</v>
      </c>
      <c r="O113" s="3">
        <v>15.066666666666666</v>
      </c>
      <c r="P113" s="3">
        <v>0</v>
      </c>
      <c r="Q113" s="4">
        <f>Table39[[#This Row],[RN Admin Hours Contract]]/Table39[[#This Row],[RN Admin Hours]]</f>
        <v>0</v>
      </c>
      <c r="R113" s="3">
        <v>5.25</v>
      </c>
      <c r="S113" s="3">
        <v>0</v>
      </c>
      <c r="T113" s="4">
        <f>Table39[[#This Row],[RN DON Hours Contract]]/Table39[[#This Row],[RN DON Hours]]</f>
        <v>0</v>
      </c>
      <c r="U113" s="3">
        <f>SUM(Table39[[#This Row],[LPN Hours]], Table39[[#This Row],[LPN Admin Hours]])</f>
        <v>20.377444444444446</v>
      </c>
      <c r="V113" s="3">
        <f>Table39[[#This Row],[LPN Hours Contract]]+Table39[[#This Row],[LPN Admin Hours Contract]]</f>
        <v>0</v>
      </c>
      <c r="W113" s="4">
        <f t="shared" si="7"/>
        <v>0</v>
      </c>
      <c r="X113" s="3">
        <v>20.377444444444446</v>
      </c>
      <c r="Y113" s="3">
        <v>0</v>
      </c>
      <c r="Z113" s="4">
        <f>Table39[[#This Row],[LPN Hours Contract]]/Table39[[#This Row],[LPN Hours]]</f>
        <v>0</v>
      </c>
      <c r="AA113" s="3">
        <v>0</v>
      </c>
      <c r="AB113" s="3">
        <v>0</v>
      </c>
      <c r="AC113" s="4">
        <v>0</v>
      </c>
      <c r="AD113" s="3">
        <f>SUM(Table39[[#This Row],[CNA Hours]], Table39[[#This Row],[NA in Training Hours]], Table39[[#This Row],[Med Aide/Tech Hours]])</f>
        <v>116.26366666666668</v>
      </c>
      <c r="AE113" s="3">
        <f>SUM(Table39[[#This Row],[CNA Hours Contract]], Table39[[#This Row],[NA in Training Hours Contract]], Table39[[#This Row],[Med Aide/Tech Hours Contract]])</f>
        <v>0</v>
      </c>
      <c r="AF113" s="4">
        <f>Table39[[#This Row],[CNA/NA/Med Aide Contract Hours]]/Table39[[#This Row],[Total CNA, NA in Training, Med Aide/Tech Hours]]</f>
        <v>0</v>
      </c>
      <c r="AG113" s="3">
        <v>107.90322222222223</v>
      </c>
      <c r="AH113" s="3">
        <v>0</v>
      </c>
      <c r="AI113" s="4">
        <f>Table39[[#This Row],[CNA Hours Contract]]/Table39[[#This Row],[CNA Hours]]</f>
        <v>0</v>
      </c>
      <c r="AJ113" s="3">
        <v>1.4661111111111114</v>
      </c>
      <c r="AK113" s="3">
        <v>0</v>
      </c>
      <c r="AL113" s="4">
        <f>Table39[[#This Row],[NA in Training Hours Contract]]/Table39[[#This Row],[NA in Training Hours]]</f>
        <v>0</v>
      </c>
      <c r="AM113" s="3">
        <v>6.8943333333333339</v>
      </c>
      <c r="AN113" s="3">
        <v>0</v>
      </c>
      <c r="AO113" s="4">
        <f>Table39[[#This Row],[Med Aide/Tech Hours Contract]]/Table39[[#This Row],[Med Aide/Tech Hours]]</f>
        <v>0</v>
      </c>
      <c r="AP113" s="1" t="s">
        <v>111</v>
      </c>
      <c r="AQ113" s="1">
        <v>10</v>
      </c>
    </row>
    <row r="114" spans="1:43" x14ac:dyDescent="0.2">
      <c r="A114" s="1" t="s">
        <v>128</v>
      </c>
      <c r="B114" s="1" t="s">
        <v>241</v>
      </c>
      <c r="C114" s="1" t="s">
        <v>260</v>
      </c>
      <c r="D114" s="1" t="s">
        <v>344</v>
      </c>
      <c r="E114" s="3">
        <v>31.111111111111111</v>
      </c>
      <c r="F114" s="3">
        <f t="shared" si="5"/>
        <v>198.88966666666667</v>
      </c>
      <c r="G114" s="3">
        <f>SUM(Table39[[#This Row],[RN Hours Contract (W/ Admin, DON)]], Table39[[#This Row],[LPN Contract Hours (w/ Admin)]], Table39[[#This Row],[CNA/NA/Med Aide Contract Hours]])</f>
        <v>31.629444444444442</v>
      </c>
      <c r="H114" s="4">
        <f>Table39[[#This Row],[Total Contract Hours]]/Table39[[#This Row],[Total Hours Nurse Staffing]]</f>
        <v>0.15903010435154721</v>
      </c>
      <c r="I114" s="3">
        <f>SUM(Table39[[#This Row],[RN Hours]], Table39[[#This Row],[RN Admin Hours]], Table39[[#This Row],[RN DON Hours]])</f>
        <v>15.539888888888889</v>
      </c>
      <c r="J114" s="3">
        <f t="shared" si="6"/>
        <v>5.793333333333333</v>
      </c>
      <c r="K114" s="4">
        <f>Table39[[#This Row],[RN Hours Contract (W/ Admin, DON)]]/Table39[[#This Row],[RN Hours (w/ Admin, DON)]]</f>
        <v>0.37280403835291254</v>
      </c>
      <c r="L114" s="3">
        <v>10.651</v>
      </c>
      <c r="M114" s="3">
        <v>5.793333333333333</v>
      </c>
      <c r="N114" s="4">
        <f>Table39[[#This Row],[RN Hours Contract]]/Table39[[#This Row],[RN Hours]]</f>
        <v>0.54392388821080961</v>
      </c>
      <c r="O114" s="3">
        <v>0</v>
      </c>
      <c r="P114" s="3">
        <v>0</v>
      </c>
      <c r="Q114" s="4">
        <v>0</v>
      </c>
      <c r="R114" s="3">
        <v>4.8888888888888893</v>
      </c>
      <c r="S114" s="3">
        <v>0</v>
      </c>
      <c r="T114" s="4">
        <f>Table39[[#This Row],[RN DON Hours Contract]]/Table39[[#This Row],[RN DON Hours]]</f>
        <v>0</v>
      </c>
      <c r="U114" s="3">
        <f>SUM(Table39[[#This Row],[LPN Hours]], Table39[[#This Row],[LPN Admin Hours]])</f>
        <v>42.379888888888885</v>
      </c>
      <c r="V114" s="3">
        <f>Table39[[#This Row],[LPN Hours Contract]]+Table39[[#This Row],[LPN Admin Hours Contract]]</f>
        <v>2.7888888888888888</v>
      </c>
      <c r="W114" s="4">
        <f t="shared" si="7"/>
        <v>6.5806894779756653E-2</v>
      </c>
      <c r="X114" s="3">
        <v>35.505333333333333</v>
      </c>
      <c r="Y114" s="3">
        <v>2.7888888888888888</v>
      </c>
      <c r="Z114" s="4">
        <f>Table39[[#This Row],[LPN Hours Contract]]/Table39[[#This Row],[LPN Hours]]</f>
        <v>7.8548449685180308E-2</v>
      </c>
      <c r="AA114" s="3">
        <v>6.8745555555555562</v>
      </c>
      <c r="AB114" s="3">
        <v>0</v>
      </c>
      <c r="AC114" s="4">
        <f>Table39[[#This Row],[LPN Admin Hours Contract]]/Table39[[#This Row],[LPN Admin Hours]]</f>
        <v>0</v>
      </c>
      <c r="AD114" s="3">
        <f>SUM(Table39[[#This Row],[CNA Hours]], Table39[[#This Row],[NA in Training Hours]], Table39[[#This Row],[Med Aide/Tech Hours]])</f>
        <v>140.9698888888889</v>
      </c>
      <c r="AE114" s="3">
        <f>SUM(Table39[[#This Row],[CNA Hours Contract]], Table39[[#This Row],[NA in Training Hours Contract]], Table39[[#This Row],[Med Aide/Tech Hours Contract]])</f>
        <v>23.047222222222221</v>
      </c>
      <c r="AF114" s="4">
        <f>Table39[[#This Row],[CNA/NA/Med Aide Contract Hours]]/Table39[[#This Row],[Total CNA, NA in Training, Med Aide/Tech Hours]]</f>
        <v>0.16349039077691135</v>
      </c>
      <c r="AG114" s="3">
        <v>107.43244444444444</v>
      </c>
      <c r="AH114" s="3">
        <v>22.113888888888887</v>
      </c>
      <c r="AI114" s="4">
        <f>Table39[[#This Row],[CNA Hours Contract]]/Table39[[#This Row],[CNA Hours]]</f>
        <v>0.20583994903257033</v>
      </c>
      <c r="AJ114" s="3">
        <v>21.880444444444436</v>
      </c>
      <c r="AK114" s="3">
        <v>0</v>
      </c>
      <c r="AL114" s="4">
        <f>Table39[[#This Row],[NA in Training Hours Contract]]/Table39[[#This Row],[NA in Training Hours]]</f>
        <v>0</v>
      </c>
      <c r="AM114" s="3">
        <v>11.656999999999998</v>
      </c>
      <c r="AN114" s="3">
        <v>0.93333333333333335</v>
      </c>
      <c r="AO114" s="4">
        <f>Table39[[#This Row],[Med Aide/Tech Hours Contract]]/Table39[[#This Row],[Med Aide/Tech Hours]]</f>
        <v>8.0066340682279621E-2</v>
      </c>
      <c r="AP114" s="1" t="s">
        <v>112</v>
      </c>
      <c r="AQ114" s="1">
        <v>10</v>
      </c>
    </row>
    <row r="115" spans="1:43" x14ac:dyDescent="0.2">
      <c r="A115" s="1" t="s">
        <v>128</v>
      </c>
      <c r="B115" s="1" t="s">
        <v>242</v>
      </c>
      <c r="C115" s="1" t="s">
        <v>281</v>
      </c>
      <c r="D115" s="1" t="s">
        <v>335</v>
      </c>
      <c r="E115" s="3">
        <v>14.188888888888888</v>
      </c>
      <c r="F115" s="3">
        <f t="shared" si="5"/>
        <v>104.92366666666666</v>
      </c>
      <c r="G115" s="3">
        <f>SUM(Table39[[#This Row],[RN Hours Contract (W/ Admin, DON)]], Table39[[#This Row],[LPN Contract Hours (w/ Admin)]], Table39[[#This Row],[CNA/NA/Med Aide Contract Hours]])</f>
        <v>2.2835555555555556</v>
      </c>
      <c r="H115" s="4">
        <f>Table39[[#This Row],[Total Contract Hours]]/Table39[[#This Row],[Total Hours Nurse Staffing]]</f>
        <v>2.1763970209030269E-2</v>
      </c>
      <c r="I115" s="3">
        <f>SUM(Table39[[#This Row],[RN Hours]], Table39[[#This Row],[RN Admin Hours]], Table39[[#This Row],[RN DON Hours]])</f>
        <v>21.203777777777777</v>
      </c>
      <c r="J115" s="3">
        <f t="shared" si="6"/>
        <v>0.62588888888888883</v>
      </c>
      <c r="K115" s="4">
        <f>Table39[[#This Row],[RN Hours Contract (W/ Admin, DON)]]/Table39[[#This Row],[RN Hours (w/ Admin, DON)]]</f>
        <v>2.9517800811176203E-2</v>
      </c>
      <c r="L115" s="3">
        <v>10.970444444444444</v>
      </c>
      <c r="M115" s="3">
        <v>0.62588888888888883</v>
      </c>
      <c r="N115" s="4">
        <f>Table39[[#This Row],[RN Hours Contract]]/Table39[[#This Row],[RN Hours]]</f>
        <v>5.7052281888711073E-2</v>
      </c>
      <c r="O115" s="3">
        <v>5.15</v>
      </c>
      <c r="P115" s="3">
        <v>0</v>
      </c>
      <c r="Q115" s="4">
        <f>Table39[[#This Row],[RN Admin Hours Contract]]/Table39[[#This Row],[RN Admin Hours]]</f>
        <v>0</v>
      </c>
      <c r="R115" s="3">
        <v>5.083333333333333</v>
      </c>
      <c r="S115" s="3">
        <v>0</v>
      </c>
      <c r="T115" s="4">
        <f>Table39[[#This Row],[RN DON Hours Contract]]/Table39[[#This Row],[RN DON Hours]]</f>
        <v>0</v>
      </c>
      <c r="U115" s="3">
        <f>SUM(Table39[[#This Row],[LPN Hours]], Table39[[#This Row],[LPN Admin Hours]])</f>
        <v>14.47488888888889</v>
      </c>
      <c r="V115" s="3">
        <f>Table39[[#This Row],[LPN Hours Contract]]+Table39[[#This Row],[LPN Admin Hours Contract]]</f>
        <v>0.58166666666666667</v>
      </c>
      <c r="W115" s="4">
        <f t="shared" si="7"/>
        <v>4.0184534135744659E-2</v>
      </c>
      <c r="X115" s="3">
        <v>14.47488888888889</v>
      </c>
      <c r="Y115" s="3">
        <v>0.58166666666666667</v>
      </c>
      <c r="Z115" s="4">
        <f>Table39[[#This Row],[LPN Hours Contract]]/Table39[[#This Row],[LPN Hours]]</f>
        <v>4.0184534135744659E-2</v>
      </c>
      <c r="AA115" s="3">
        <v>0</v>
      </c>
      <c r="AB115" s="3">
        <v>0</v>
      </c>
      <c r="AC115" s="4">
        <v>0</v>
      </c>
      <c r="AD115" s="3">
        <f>SUM(Table39[[#This Row],[CNA Hours]], Table39[[#This Row],[NA in Training Hours]], Table39[[#This Row],[Med Aide/Tech Hours]])</f>
        <v>69.245000000000005</v>
      </c>
      <c r="AE115" s="3">
        <f>SUM(Table39[[#This Row],[CNA Hours Contract]], Table39[[#This Row],[NA in Training Hours Contract]], Table39[[#This Row],[Med Aide/Tech Hours Contract]])</f>
        <v>1.0760000000000001</v>
      </c>
      <c r="AF115" s="4">
        <f>Table39[[#This Row],[CNA/NA/Med Aide Contract Hours]]/Table39[[#This Row],[Total CNA, NA in Training, Med Aide/Tech Hours]]</f>
        <v>1.5539028088670663E-2</v>
      </c>
      <c r="AG115" s="3">
        <v>61.134555555555551</v>
      </c>
      <c r="AH115" s="3">
        <v>1.0760000000000001</v>
      </c>
      <c r="AI115" s="4">
        <f>Table39[[#This Row],[CNA Hours Contract]]/Table39[[#This Row],[CNA Hours]]</f>
        <v>1.7600520527579423E-2</v>
      </c>
      <c r="AJ115" s="3">
        <v>0</v>
      </c>
      <c r="AK115" s="3">
        <v>0</v>
      </c>
      <c r="AL115" s="4">
        <v>0</v>
      </c>
      <c r="AM115" s="3">
        <v>8.1104444444444468</v>
      </c>
      <c r="AN115" s="3">
        <v>0</v>
      </c>
      <c r="AO115" s="4">
        <f>Table39[[#This Row],[Med Aide/Tech Hours Contract]]/Table39[[#This Row],[Med Aide/Tech Hours]]</f>
        <v>0</v>
      </c>
      <c r="AP115" s="1" t="s">
        <v>113</v>
      </c>
      <c r="AQ115" s="1">
        <v>10</v>
      </c>
    </row>
    <row r="116" spans="1:43" x14ac:dyDescent="0.2">
      <c r="A116" s="1" t="s">
        <v>128</v>
      </c>
      <c r="B116" s="1" t="s">
        <v>243</v>
      </c>
      <c r="C116" s="1" t="s">
        <v>263</v>
      </c>
      <c r="D116" s="1" t="s">
        <v>334</v>
      </c>
      <c r="E116" s="3">
        <v>31.977777777777778</v>
      </c>
      <c r="F116" s="3">
        <f t="shared" si="5"/>
        <v>165.79611111111109</v>
      </c>
      <c r="G116" s="3">
        <f>SUM(Table39[[#This Row],[RN Hours Contract (W/ Admin, DON)]], Table39[[#This Row],[LPN Contract Hours (w/ Admin)]], Table39[[#This Row],[CNA/NA/Med Aide Contract Hours]])</f>
        <v>10.547555555555554</v>
      </c>
      <c r="H116" s="4">
        <f>Table39[[#This Row],[Total Contract Hours]]/Table39[[#This Row],[Total Hours Nurse Staffing]]</f>
        <v>6.3617629417658236E-2</v>
      </c>
      <c r="I116" s="3">
        <f>SUM(Table39[[#This Row],[RN Hours]], Table39[[#This Row],[RN Admin Hours]], Table39[[#This Row],[RN DON Hours]])</f>
        <v>25.342555555555556</v>
      </c>
      <c r="J116" s="3">
        <f t="shared" si="6"/>
        <v>2.6978888888888886</v>
      </c>
      <c r="K116" s="4">
        <f>Table39[[#This Row],[RN Hours Contract (W/ Admin, DON)]]/Table39[[#This Row],[RN Hours (w/ Admin, DON)]]</f>
        <v>0.1064568600027183</v>
      </c>
      <c r="L116" s="3">
        <v>20.920333333333332</v>
      </c>
      <c r="M116" s="3">
        <v>2.6978888888888886</v>
      </c>
      <c r="N116" s="4">
        <f>Table39[[#This Row],[RN Hours Contract]]/Table39[[#This Row],[RN Hours]]</f>
        <v>0.12896012916726415</v>
      </c>
      <c r="O116" s="3">
        <v>0</v>
      </c>
      <c r="P116" s="3">
        <v>0</v>
      </c>
      <c r="Q116" s="4">
        <v>0</v>
      </c>
      <c r="R116" s="3">
        <v>4.4222222222222225</v>
      </c>
      <c r="S116" s="3">
        <v>0</v>
      </c>
      <c r="T116" s="4">
        <f>Table39[[#This Row],[RN DON Hours Contract]]/Table39[[#This Row],[RN DON Hours]]</f>
        <v>0</v>
      </c>
      <c r="U116" s="3">
        <f>SUM(Table39[[#This Row],[LPN Hours]], Table39[[#This Row],[LPN Admin Hours]])</f>
        <v>28.541777777777778</v>
      </c>
      <c r="V116" s="3">
        <f>Table39[[#This Row],[LPN Hours Contract]]+Table39[[#This Row],[LPN Admin Hours Contract]]</f>
        <v>1.0311111111111111</v>
      </c>
      <c r="W116" s="4">
        <f t="shared" si="7"/>
        <v>3.6126380043289372E-2</v>
      </c>
      <c r="X116" s="3">
        <v>22.609222222222222</v>
      </c>
      <c r="Y116" s="3">
        <v>1.0311111111111111</v>
      </c>
      <c r="Z116" s="4">
        <f>Table39[[#This Row],[LPN Hours Contract]]/Table39[[#This Row],[LPN Hours]]</f>
        <v>4.5605775421042542E-2</v>
      </c>
      <c r="AA116" s="3">
        <v>5.932555555555556</v>
      </c>
      <c r="AB116" s="3">
        <v>0</v>
      </c>
      <c r="AC116" s="4">
        <f>Table39[[#This Row],[LPN Admin Hours Contract]]/Table39[[#This Row],[LPN Admin Hours]]</f>
        <v>0</v>
      </c>
      <c r="AD116" s="3">
        <f>SUM(Table39[[#This Row],[CNA Hours]], Table39[[#This Row],[NA in Training Hours]], Table39[[#This Row],[Med Aide/Tech Hours]])</f>
        <v>111.91177777777777</v>
      </c>
      <c r="AE116" s="3">
        <f>SUM(Table39[[#This Row],[CNA Hours Contract]], Table39[[#This Row],[NA in Training Hours Contract]], Table39[[#This Row],[Med Aide/Tech Hours Contract]])</f>
        <v>6.8185555555555553</v>
      </c>
      <c r="AF116" s="4">
        <f>Table39[[#This Row],[CNA/NA/Med Aide Contract Hours]]/Table39[[#This Row],[Total CNA, NA in Training, Med Aide/Tech Hours]]</f>
        <v>6.0927953169460869E-2</v>
      </c>
      <c r="AG116" s="3">
        <v>101.44266666666667</v>
      </c>
      <c r="AH116" s="3">
        <v>6.8185555555555553</v>
      </c>
      <c r="AI116" s="4">
        <f>Table39[[#This Row],[CNA Hours Contract]]/Table39[[#This Row],[CNA Hours]]</f>
        <v>6.721585482330468E-2</v>
      </c>
      <c r="AJ116" s="3">
        <v>0</v>
      </c>
      <c r="AK116" s="3">
        <v>0</v>
      </c>
      <c r="AL116" s="4">
        <v>0</v>
      </c>
      <c r="AM116" s="3">
        <v>10.469111111111109</v>
      </c>
      <c r="AN116" s="3">
        <v>0</v>
      </c>
      <c r="AO116" s="4">
        <f>Table39[[#This Row],[Med Aide/Tech Hours Contract]]/Table39[[#This Row],[Med Aide/Tech Hours]]</f>
        <v>0</v>
      </c>
      <c r="AP116" s="1" t="s">
        <v>114</v>
      </c>
      <c r="AQ116" s="1">
        <v>10</v>
      </c>
    </row>
    <row r="117" spans="1:43" x14ac:dyDescent="0.2">
      <c r="A117" s="1" t="s">
        <v>128</v>
      </c>
      <c r="B117" s="1" t="s">
        <v>244</v>
      </c>
      <c r="C117" s="1" t="s">
        <v>315</v>
      </c>
      <c r="D117" s="1" t="s">
        <v>339</v>
      </c>
      <c r="E117" s="3">
        <v>60.37777777777778</v>
      </c>
      <c r="F117" s="3">
        <f t="shared" si="5"/>
        <v>243.01666666666668</v>
      </c>
      <c r="G117" s="3">
        <f>SUM(Table39[[#This Row],[RN Hours Contract (W/ Admin, DON)]], Table39[[#This Row],[LPN Contract Hours (w/ Admin)]], Table39[[#This Row],[CNA/NA/Med Aide Contract Hours]])</f>
        <v>0</v>
      </c>
      <c r="H117" s="4">
        <f>Table39[[#This Row],[Total Contract Hours]]/Table39[[#This Row],[Total Hours Nurse Staffing]]</f>
        <v>0</v>
      </c>
      <c r="I117" s="3">
        <f>SUM(Table39[[#This Row],[RN Hours]], Table39[[#This Row],[RN Admin Hours]], Table39[[#This Row],[RN DON Hours]])</f>
        <v>28.116666666666664</v>
      </c>
      <c r="J117" s="3">
        <f t="shared" si="6"/>
        <v>0</v>
      </c>
      <c r="K117" s="4">
        <f>Table39[[#This Row],[RN Hours Contract (W/ Admin, DON)]]/Table39[[#This Row],[RN Hours (w/ Admin, DON)]]</f>
        <v>0</v>
      </c>
      <c r="L117" s="3">
        <v>12.305555555555555</v>
      </c>
      <c r="M117" s="3">
        <v>0</v>
      </c>
      <c r="N117" s="4">
        <f>Table39[[#This Row],[RN Hours Contract]]/Table39[[#This Row],[RN Hours]]</f>
        <v>0</v>
      </c>
      <c r="O117" s="3">
        <v>10.655555555555555</v>
      </c>
      <c r="P117" s="3">
        <v>0</v>
      </c>
      <c r="Q117" s="4">
        <f>Table39[[#This Row],[RN Admin Hours Contract]]/Table39[[#This Row],[RN Admin Hours]]</f>
        <v>0</v>
      </c>
      <c r="R117" s="3">
        <v>5.1555555555555559</v>
      </c>
      <c r="S117" s="3">
        <v>0</v>
      </c>
      <c r="T117" s="4">
        <f>Table39[[#This Row],[RN DON Hours Contract]]/Table39[[#This Row],[RN DON Hours]]</f>
        <v>0</v>
      </c>
      <c r="U117" s="3">
        <f>SUM(Table39[[#This Row],[LPN Hours]], Table39[[#This Row],[LPN Admin Hours]])</f>
        <v>26.336111111111112</v>
      </c>
      <c r="V117" s="3">
        <f>Table39[[#This Row],[LPN Hours Contract]]+Table39[[#This Row],[LPN Admin Hours Contract]]</f>
        <v>0</v>
      </c>
      <c r="W117" s="4">
        <f t="shared" si="7"/>
        <v>0</v>
      </c>
      <c r="X117" s="3">
        <v>0</v>
      </c>
      <c r="Y117" s="3">
        <v>0</v>
      </c>
      <c r="Z117" s="4">
        <v>0</v>
      </c>
      <c r="AA117" s="3">
        <v>26.336111111111112</v>
      </c>
      <c r="AB117" s="3">
        <v>0</v>
      </c>
      <c r="AC117" s="4">
        <f>Table39[[#This Row],[LPN Admin Hours Contract]]/Table39[[#This Row],[LPN Admin Hours]]</f>
        <v>0</v>
      </c>
      <c r="AD117" s="3">
        <f>SUM(Table39[[#This Row],[CNA Hours]], Table39[[#This Row],[NA in Training Hours]], Table39[[#This Row],[Med Aide/Tech Hours]])</f>
        <v>188.5638888888889</v>
      </c>
      <c r="AE117" s="3">
        <f>SUM(Table39[[#This Row],[CNA Hours Contract]], Table39[[#This Row],[NA in Training Hours Contract]], Table39[[#This Row],[Med Aide/Tech Hours Contract]])</f>
        <v>0</v>
      </c>
      <c r="AF117" s="4">
        <f>Table39[[#This Row],[CNA/NA/Med Aide Contract Hours]]/Table39[[#This Row],[Total CNA, NA in Training, Med Aide/Tech Hours]]</f>
        <v>0</v>
      </c>
      <c r="AG117" s="3">
        <v>148.10555555555555</v>
      </c>
      <c r="AH117" s="3">
        <v>0</v>
      </c>
      <c r="AI117" s="4">
        <f>Table39[[#This Row],[CNA Hours Contract]]/Table39[[#This Row],[CNA Hours]]</f>
        <v>0</v>
      </c>
      <c r="AJ117" s="3">
        <v>11.452777777777778</v>
      </c>
      <c r="AK117" s="3">
        <v>0</v>
      </c>
      <c r="AL117" s="4">
        <f>Table39[[#This Row],[NA in Training Hours Contract]]/Table39[[#This Row],[NA in Training Hours]]</f>
        <v>0</v>
      </c>
      <c r="AM117" s="3">
        <v>29.005555555555556</v>
      </c>
      <c r="AN117" s="3">
        <v>0</v>
      </c>
      <c r="AO117" s="4">
        <f>Table39[[#This Row],[Med Aide/Tech Hours Contract]]/Table39[[#This Row],[Med Aide/Tech Hours]]</f>
        <v>0</v>
      </c>
      <c r="AP117" s="1" t="s">
        <v>115</v>
      </c>
      <c r="AQ117" s="1">
        <v>10</v>
      </c>
    </row>
    <row r="118" spans="1:43" x14ac:dyDescent="0.2">
      <c r="A118" s="1" t="s">
        <v>128</v>
      </c>
      <c r="B118" s="1" t="s">
        <v>245</v>
      </c>
      <c r="C118" s="1" t="s">
        <v>316</v>
      </c>
      <c r="D118" s="1" t="s">
        <v>339</v>
      </c>
      <c r="E118" s="3">
        <v>40.43333333333333</v>
      </c>
      <c r="F118" s="3">
        <f t="shared" si="5"/>
        <v>220.04255555555557</v>
      </c>
      <c r="G118" s="3">
        <f>SUM(Table39[[#This Row],[RN Hours Contract (W/ Admin, DON)]], Table39[[#This Row],[LPN Contract Hours (w/ Admin)]], Table39[[#This Row],[CNA/NA/Med Aide Contract Hours]])</f>
        <v>19.103666666666669</v>
      </c>
      <c r="H118" s="4">
        <f>Table39[[#This Row],[Total Contract Hours]]/Table39[[#This Row],[Total Hours Nurse Staffing]]</f>
        <v>8.6818054891402333E-2</v>
      </c>
      <c r="I118" s="3">
        <f>SUM(Table39[[#This Row],[RN Hours]], Table39[[#This Row],[RN Admin Hours]], Table39[[#This Row],[RN DON Hours]])</f>
        <v>50.233333333333341</v>
      </c>
      <c r="J118" s="3">
        <f t="shared" si="6"/>
        <v>0.9555555555555556</v>
      </c>
      <c r="K118" s="4">
        <f>Table39[[#This Row],[RN Hours Contract (W/ Admin, DON)]]/Table39[[#This Row],[RN Hours (w/ Admin, DON)]]</f>
        <v>1.9022340190223398E-2</v>
      </c>
      <c r="L118" s="3">
        <v>27.055555555555557</v>
      </c>
      <c r="M118" s="3">
        <v>0.9555555555555556</v>
      </c>
      <c r="N118" s="4">
        <f>Table39[[#This Row],[RN Hours Contract]]/Table39[[#This Row],[RN Hours]]</f>
        <v>3.5318275154004104E-2</v>
      </c>
      <c r="O118" s="3">
        <v>17.577777777777779</v>
      </c>
      <c r="P118" s="3">
        <v>0</v>
      </c>
      <c r="Q118" s="4">
        <f>Table39[[#This Row],[RN Admin Hours Contract]]/Table39[[#This Row],[RN Admin Hours]]</f>
        <v>0</v>
      </c>
      <c r="R118" s="3">
        <v>5.6</v>
      </c>
      <c r="S118" s="3">
        <v>0</v>
      </c>
      <c r="T118" s="4">
        <f>Table39[[#This Row],[RN DON Hours Contract]]/Table39[[#This Row],[RN DON Hours]]</f>
        <v>0</v>
      </c>
      <c r="U118" s="3">
        <f>SUM(Table39[[#This Row],[LPN Hours]], Table39[[#This Row],[LPN Admin Hours]])</f>
        <v>54.569444444444443</v>
      </c>
      <c r="V118" s="3">
        <f>Table39[[#This Row],[LPN Hours Contract]]+Table39[[#This Row],[LPN Admin Hours Contract]]</f>
        <v>9.594444444444445</v>
      </c>
      <c r="W118" s="4">
        <f t="shared" si="7"/>
        <v>0.17582081954695852</v>
      </c>
      <c r="X118" s="3">
        <v>54.569444444444443</v>
      </c>
      <c r="Y118" s="3">
        <v>9.594444444444445</v>
      </c>
      <c r="Z118" s="4">
        <f>Table39[[#This Row],[LPN Hours Contract]]/Table39[[#This Row],[LPN Hours]]</f>
        <v>0.17582081954695852</v>
      </c>
      <c r="AA118" s="3">
        <v>0</v>
      </c>
      <c r="AB118" s="3">
        <v>0</v>
      </c>
      <c r="AC118" s="4">
        <v>0</v>
      </c>
      <c r="AD118" s="3">
        <f>SUM(Table39[[#This Row],[CNA Hours]], Table39[[#This Row],[NA in Training Hours]], Table39[[#This Row],[Med Aide/Tech Hours]])</f>
        <v>115.23977777777777</v>
      </c>
      <c r="AE118" s="3">
        <f>SUM(Table39[[#This Row],[CNA Hours Contract]], Table39[[#This Row],[NA in Training Hours Contract]], Table39[[#This Row],[Med Aide/Tech Hours Contract]])</f>
        <v>8.5536666666666665</v>
      </c>
      <c r="AF118" s="4">
        <f>Table39[[#This Row],[CNA/NA/Med Aide Contract Hours]]/Table39[[#This Row],[Total CNA, NA in Training, Med Aide/Tech Hours]]</f>
        <v>7.4224949332695689E-2</v>
      </c>
      <c r="AG118" s="3">
        <v>98.834222222222223</v>
      </c>
      <c r="AH118" s="3">
        <v>8.5536666666666665</v>
      </c>
      <c r="AI118" s="4">
        <f>Table39[[#This Row],[CNA Hours Contract]]/Table39[[#This Row],[CNA Hours]]</f>
        <v>8.6545595992391297E-2</v>
      </c>
      <c r="AJ118" s="3">
        <v>16.405555555555555</v>
      </c>
      <c r="AK118" s="3">
        <v>0</v>
      </c>
      <c r="AL118" s="4">
        <f>Table39[[#This Row],[NA in Training Hours Contract]]/Table39[[#This Row],[NA in Training Hours]]</f>
        <v>0</v>
      </c>
      <c r="AM118" s="3">
        <v>0</v>
      </c>
      <c r="AN118" s="3">
        <v>0</v>
      </c>
      <c r="AO118" s="4">
        <v>0</v>
      </c>
      <c r="AP118" s="1" t="s">
        <v>116</v>
      </c>
      <c r="AQ118" s="1">
        <v>10</v>
      </c>
    </row>
    <row r="119" spans="1:43" x14ac:dyDescent="0.2">
      <c r="A119" s="1" t="s">
        <v>128</v>
      </c>
      <c r="B119" s="1" t="s">
        <v>246</v>
      </c>
      <c r="C119" s="1" t="s">
        <v>267</v>
      </c>
      <c r="D119" s="1" t="s">
        <v>331</v>
      </c>
      <c r="E119" s="3">
        <v>131.57777777777778</v>
      </c>
      <c r="F119" s="3">
        <f t="shared" si="5"/>
        <v>725.19144444444441</v>
      </c>
      <c r="G119" s="3">
        <f>SUM(Table39[[#This Row],[RN Hours Contract (W/ Admin, DON)]], Table39[[#This Row],[LPN Contract Hours (w/ Admin)]], Table39[[#This Row],[CNA/NA/Med Aide Contract Hours]])</f>
        <v>9.0196666666666676</v>
      </c>
      <c r="H119" s="4">
        <f>Table39[[#This Row],[Total Contract Hours]]/Table39[[#This Row],[Total Hours Nurse Staffing]]</f>
        <v>1.2437635242065584E-2</v>
      </c>
      <c r="I119" s="3">
        <f>SUM(Table39[[#This Row],[RN Hours]], Table39[[#This Row],[RN Admin Hours]], Table39[[#This Row],[RN DON Hours]])</f>
        <v>90.774999999999991</v>
      </c>
      <c r="J119" s="3">
        <f t="shared" si="6"/>
        <v>0.53333333333333333</v>
      </c>
      <c r="K119" s="4">
        <f>Table39[[#This Row],[RN Hours Contract (W/ Admin, DON)]]/Table39[[#This Row],[RN Hours (w/ Admin, DON)]]</f>
        <v>5.8753327825208854E-3</v>
      </c>
      <c r="L119" s="3">
        <v>81.61944444444444</v>
      </c>
      <c r="M119" s="3">
        <v>0.53333333333333333</v>
      </c>
      <c r="N119" s="4">
        <f>Table39[[#This Row],[RN Hours Contract]]/Table39[[#This Row],[RN Hours]]</f>
        <v>6.5343906340400914E-3</v>
      </c>
      <c r="O119" s="3">
        <v>4.9777777777777779</v>
      </c>
      <c r="P119" s="3">
        <v>0</v>
      </c>
      <c r="Q119" s="4">
        <f>Table39[[#This Row],[RN Admin Hours Contract]]/Table39[[#This Row],[RN Admin Hours]]</f>
        <v>0</v>
      </c>
      <c r="R119" s="3">
        <v>4.177777777777778</v>
      </c>
      <c r="S119" s="3">
        <v>0</v>
      </c>
      <c r="T119" s="4">
        <f>Table39[[#This Row],[RN DON Hours Contract]]/Table39[[#This Row],[RN DON Hours]]</f>
        <v>0</v>
      </c>
      <c r="U119" s="3">
        <f>SUM(Table39[[#This Row],[LPN Hours]], Table39[[#This Row],[LPN Admin Hours]])</f>
        <v>161.18611111111113</v>
      </c>
      <c r="V119" s="3">
        <f>Table39[[#This Row],[LPN Hours Contract]]+Table39[[#This Row],[LPN Admin Hours Contract]]</f>
        <v>4.4000000000000004</v>
      </c>
      <c r="W119" s="4">
        <f t="shared" si="7"/>
        <v>2.7297637306770983E-2</v>
      </c>
      <c r="X119" s="3">
        <v>149.11666666666667</v>
      </c>
      <c r="Y119" s="3">
        <v>4.4000000000000004</v>
      </c>
      <c r="Z119" s="4">
        <f>Table39[[#This Row],[LPN Hours Contract]]/Table39[[#This Row],[LPN Hours]]</f>
        <v>2.9507097351067397E-2</v>
      </c>
      <c r="AA119" s="3">
        <v>12.069444444444445</v>
      </c>
      <c r="AB119" s="3">
        <v>0</v>
      </c>
      <c r="AC119" s="4">
        <f>Table39[[#This Row],[LPN Admin Hours Contract]]/Table39[[#This Row],[LPN Admin Hours]]</f>
        <v>0</v>
      </c>
      <c r="AD119" s="3">
        <f>SUM(Table39[[#This Row],[CNA Hours]], Table39[[#This Row],[NA in Training Hours]], Table39[[#This Row],[Med Aide/Tech Hours]])</f>
        <v>473.23033333333336</v>
      </c>
      <c r="AE119" s="3">
        <f>SUM(Table39[[#This Row],[CNA Hours Contract]], Table39[[#This Row],[NA in Training Hours Contract]], Table39[[#This Row],[Med Aide/Tech Hours Contract]])</f>
        <v>4.086333333333334</v>
      </c>
      <c r="AF119" s="4">
        <f>Table39[[#This Row],[CNA/NA/Med Aide Contract Hours]]/Table39[[#This Row],[Total CNA, NA in Training, Med Aide/Tech Hours]]</f>
        <v>8.6349776113252823E-3</v>
      </c>
      <c r="AG119" s="3">
        <v>473.23033333333336</v>
      </c>
      <c r="AH119" s="3">
        <v>4.086333333333334</v>
      </c>
      <c r="AI119" s="4">
        <f>Table39[[#This Row],[CNA Hours Contract]]/Table39[[#This Row],[CNA Hours]]</f>
        <v>8.6349776113252823E-3</v>
      </c>
      <c r="AJ119" s="3">
        <v>0</v>
      </c>
      <c r="AK119" s="3">
        <v>0</v>
      </c>
      <c r="AL119" s="4">
        <v>0</v>
      </c>
      <c r="AM119" s="3">
        <v>0</v>
      </c>
      <c r="AN119" s="3">
        <v>0</v>
      </c>
      <c r="AO119" s="4">
        <v>0</v>
      </c>
      <c r="AP119" s="1" t="s">
        <v>117</v>
      </c>
      <c r="AQ119" s="1">
        <v>10</v>
      </c>
    </row>
    <row r="120" spans="1:43" x14ac:dyDescent="0.2">
      <c r="A120" s="1" t="s">
        <v>128</v>
      </c>
      <c r="B120" s="1" t="s">
        <v>247</v>
      </c>
      <c r="C120" s="1" t="s">
        <v>289</v>
      </c>
      <c r="D120" s="1" t="s">
        <v>341</v>
      </c>
      <c r="E120" s="3">
        <v>25.944444444444443</v>
      </c>
      <c r="F120" s="3">
        <f t="shared" si="5"/>
        <v>152.45933333333332</v>
      </c>
      <c r="G120" s="3">
        <f>SUM(Table39[[#This Row],[RN Hours Contract (W/ Admin, DON)]], Table39[[#This Row],[LPN Contract Hours (w/ Admin)]], Table39[[#This Row],[CNA/NA/Med Aide Contract Hours]])</f>
        <v>48.646888888888888</v>
      </c>
      <c r="H120" s="4">
        <f>Table39[[#This Row],[Total Contract Hours]]/Table39[[#This Row],[Total Hours Nurse Staffing]]</f>
        <v>0.31908108100229282</v>
      </c>
      <c r="I120" s="3">
        <f>SUM(Table39[[#This Row],[RN Hours]], Table39[[#This Row],[RN Admin Hours]], Table39[[#This Row],[RN DON Hours]])</f>
        <v>24.162444444444443</v>
      </c>
      <c r="J120" s="3">
        <f t="shared" si="6"/>
        <v>1.5666666666666667</v>
      </c>
      <c r="K120" s="4">
        <f>Table39[[#This Row],[RN Hours Contract (W/ Admin, DON)]]/Table39[[#This Row],[RN Hours (w/ Admin, DON)]]</f>
        <v>6.4838914385041982E-2</v>
      </c>
      <c r="L120" s="3">
        <v>18.837888888888891</v>
      </c>
      <c r="M120" s="3">
        <v>1.5666666666666667</v>
      </c>
      <c r="N120" s="4">
        <f>Table39[[#This Row],[RN Hours Contract]]/Table39[[#This Row],[RN Hours]]</f>
        <v>8.316572392518623E-2</v>
      </c>
      <c r="O120" s="3">
        <v>2.7712222222222227</v>
      </c>
      <c r="P120" s="3">
        <v>0</v>
      </c>
      <c r="Q120" s="4">
        <f>Table39[[#This Row],[RN Admin Hours Contract]]/Table39[[#This Row],[RN Admin Hours]]</f>
        <v>0</v>
      </c>
      <c r="R120" s="3">
        <v>2.5533333333333323</v>
      </c>
      <c r="S120" s="3">
        <v>0</v>
      </c>
      <c r="T120" s="4">
        <f>Table39[[#This Row],[RN DON Hours Contract]]/Table39[[#This Row],[RN DON Hours]]</f>
        <v>0</v>
      </c>
      <c r="U120" s="3">
        <f>SUM(Table39[[#This Row],[LPN Hours]], Table39[[#This Row],[LPN Admin Hours]])</f>
        <v>30.934444444444445</v>
      </c>
      <c r="V120" s="3">
        <f>Table39[[#This Row],[LPN Hours Contract]]+Table39[[#This Row],[LPN Admin Hours Contract]]</f>
        <v>11.841666666666667</v>
      </c>
      <c r="W120" s="4">
        <f t="shared" si="7"/>
        <v>0.38279875004489783</v>
      </c>
      <c r="X120" s="3">
        <v>26.427111111111113</v>
      </c>
      <c r="Y120" s="3">
        <v>11.841666666666667</v>
      </c>
      <c r="Z120" s="4">
        <f>Table39[[#This Row],[LPN Hours Contract]]/Table39[[#This Row],[LPN Hours]]</f>
        <v>0.44808782227005933</v>
      </c>
      <c r="AA120" s="3">
        <v>4.5073333333333334</v>
      </c>
      <c r="AB120" s="3">
        <v>0</v>
      </c>
      <c r="AC120" s="4">
        <f>Table39[[#This Row],[LPN Admin Hours Contract]]/Table39[[#This Row],[LPN Admin Hours]]</f>
        <v>0</v>
      </c>
      <c r="AD120" s="3">
        <f>SUM(Table39[[#This Row],[CNA Hours]], Table39[[#This Row],[NA in Training Hours]], Table39[[#This Row],[Med Aide/Tech Hours]])</f>
        <v>97.362444444444435</v>
      </c>
      <c r="AE120" s="3">
        <f>SUM(Table39[[#This Row],[CNA Hours Contract]], Table39[[#This Row],[NA in Training Hours Contract]], Table39[[#This Row],[Med Aide/Tech Hours Contract]])</f>
        <v>35.238555555555557</v>
      </c>
      <c r="AF120" s="4">
        <f>Table39[[#This Row],[CNA/NA/Med Aide Contract Hours]]/Table39[[#This Row],[Total CNA, NA in Training, Med Aide/Tech Hours]]</f>
        <v>0.36193170535753011</v>
      </c>
      <c r="AG120" s="3">
        <v>97.135999999999996</v>
      </c>
      <c r="AH120" s="3">
        <v>35.238555555555557</v>
      </c>
      <c r="AI120" s="4">
        <f>Table39[[#This Row],[CNA Hours Contract]]/Table39[[#This Row],[CNA Hours]]</f>
        <v>0.36277544427972697</v>
      </c>
      <c r="AJ120" s="3">
        <v>0</v>
      </c>
      <c r="AK120" s="3">
        <v>0</v>
      </c>
      <c r="AL120" s="4">
        <v>0</v>
      </c>
      <c r="AM120" s="3">
        <v>0.22644444444444448</v>
      </c>
      <c r="AN120" s="3">
        <v>0</v>
      </c>
      <c r="AO120" s="4">
        <f>Table39[[#This Row],[Med Aide/Tech Hours Contract]]/Table39[[#This Row],[Med Aide/Tech Hours]]</f>
        <v>0</v>
      </c>
      <c r="AP120" s="1" t="s">
        <v>118</v>
      </c>
      <c r="AQ120" s="1">
        <v>10</v>
      </c>
    </row>
    <row r="121" spans="1:43" x14ac:dyDescent="0.2">
      <c r="A121" s="1" t="s">
        <v>128</v>
      </c>
      <c r="B121" s="1" t="s">
        <v>248</v>
      </c>
      <c r="C121" s="1" t="s">
        <v>317</v>
      </c>
      <c r="D121" s="1" t="s">
        <v>324</v>
      </c>
      <c r="E121" s="3">
        <v>25.444444444444443</v>
      </c>
      <c r="F121" s="3">
        <f t="shared" si="5"/>
        <v>134.17411111111113</v>
      </c>
      <c r="G121" s="3">
        <f>SUM(Table39[[#This Row],[RN Hours Contract (W/ Admin, DON)]], Table39[[#This Row],[LPN Contract Hours (w/ Admin)]], Table39[[#This Row],[CNA/NA/Med Aide Contract Hours]])</f>
        <v>10.760222222222222</v>
      </c>
      <c r="H121" s="4">
        <f>Table39[[#This Row],[Total Contract Hours]]/Table39[[#This Row],[Total Hours Nurse Staffing]]</f>
        <v>8.019596428189904E-2</v>
      </c>
      <c r="I121" s="3">
        <f>SUM(Table39[[#This Row],[RN Hours]], Table39[[#This Row],[RN Admin Hours]], Table39[[#This Row],[RN DON Hours]])</f>
        <v>20.925000000000001</v>
      </c>
      <c r="J121" s="3">
        <f t="shared" si="6"/>
        <v>0</v>
      </c>
      <c r="K121" s="4">
        <f>Table39[[#This Row],[RN Hours Contract (W/ Admin, DON)]]/Table39[[#This Row],[RN Hours (w/ Admin, DON)]]</f>
        <v>0</v>
      </c>
      <c r="L121" s="3">
        <v>11.602777777777778</v>
      </c>
      <c r="M121" s="3">
        <v>0</v>
      </c>
      <c r="N121" s="4">
        <f>Table39[[#This Row],[RN Hours Contract]]/Table39[[#This Row],[RN Hours]]</f>
        <v>0</v>
      </c>
      <c r="O121" s="3">
        <v>3.0777777777777779</v>
      </c>
      <c r="P121" s="3">
        <v>0</v>
      </c>
      <c r="Q121" s="4">
        <f>Table39[[#This Row],[RN Admin Hours Contract]]/Table39[[#This Row],[RN Admin Hours]]</f>
        <v>0</v>
      </c>
      <c r="R121" s="3">
        <v>6.2444444444444445</v>
      </c>
      <c r="S121" s="3">
        <v>0</v>
      </c>
      <c r="T121" s="4">
        <f>Table39[[#This Row],[RN DON Hours Contract]]/Table39[[#This Row],[RN DON Hours]]</f>
        <v>0</v>
      </c>
      <c r="U121" s="3">
        <f>SUM(Table39[[#This Row],[LPN Hours]], Table39[[#This Row],[LPN Admin Hours]])</f>
        <v>20.774999999999999</v>
      </c>
      <c r="V121" s="3">
        <f>Table39[[#This Row],[LPN Hours Contract]]+Table39[[#This Row],[LPN Admin Hours Contract]]</f>
        <v>0</v>
      </c>
      <c r="W121" s="4">
        <f t="shared" si="7"/>
        <v>0</v>
      </c>
      <c r="X121" s="3">
        <v>20.774999999999999</v>
      </c>
      <c r="Y121" s="3">
        <v>0</v>
      </c>
      <c r="Z121" s="4">
        <f>Table39[[#This Row],[LPN Hours Contract]]/Table39[[#This Row],[LPN Hours]]</f>
        <v>0</v>
      </c>
      <c r="AA121" s="3">
        <v>0</v>
      </c>
      <c r="AB121" s="3">
        <v>0</v>
      </c>
      <c r="AC121" s="4">
        <v>0</v>
      </c>
      <c r="AD121" s="3">
        <f>SUM(Table39[[#This Row],[CNA Hours]], Table39[[#This Row],[NA in Training Hours]], Table39[[#This Row],[Med Aide/Tech Hours]])</f>
        <v>92.474111111111114</v>
      </c>
      <c r="AE121" s="3">
        <f>SUM(Table39[[#This Row],[CNA Hours Contract]], Table39[[#This Row],[NA in Training Hours Contract]], Table39[[#This Row],[Med Aide/Tech Hours Contract]])</f>
        <v>10.760222222222222</v>
      </c>
      <c r="AF121" s="4">
        <f>Table39[[#This Row],[CNA/NA/Med Aide Contract Hours]]/Table39[[#This Row],[Total CNA, NA in Training, Med Aide/Tech Hours]]</f>
        <v>0.11635929335177292</v>
      </c>
      <c r="AG121" s="3">
        <v>81.057444444444442</v>
      </c>
      <c r="AH121" s="3">
        <v>10.760222222222222</v>
      </c>
      <c r="AI121" s="4">
        <f>Table39[[#This Row],[CNA Hours Contract]]/Table39[[#This Row],[CNA Hours]]</f>
        <v>0.13274810593858677</v>
      </c>
      <c r="AJ121" s="3">
        <v>0</v>
      </c>
      <c r="AK121" s="3">
        <v>0</v>
      </c>
      <c r="AL121" s="4">
        <v>0</v>
      </c>
      <c r="AM121" s="3">
        <v>11.416666666666666</v>
      </c>
      <c r="AN121" s="3">
        <v>0</v>
      </c>
      <c r="AO121" s="4">
        <f>Table39[[#This Row],[Med Aide/Tech Hours Contract]]/Table39[[#This Row],[Med Aide/Tech Hours]]</f>
        <v>0</v>
      </c>
      <c r="AP121" s="1" t="s">
        <v>119</v>
      </c>
      <c r="AQ121" s="1">
        <v>10</v>
      </c>
    </row>
    <row r="122" spans="1:43" x14ac:dyDescent="0.2">
      <c r="A122" s="1" t="s">
        <v>128</v>
      </c>
      <c r="B122" s="1" t="s">
        <v>249</v>
      </c>
      <c r="C122" s="1" t="s">
        <v>263</v>
      </c>
      <c r="D122" s="1" t="s">
        <v>321</v>
      </c>
      <c r="E122" s="3">
        <v>37.777777777777779</v>
      </c>
      <c r="F122" s="3">
        <f t="shared" si="5"/>
        <v>165.40811111111111</v>
      </c>
      <c r="G122" s="3">
        <f>SUM(Table39[[#This Row],[RN Hours Contract (W/ Admin, DON)]], Table39[[#This Row],[LPN Contract Hours (w/ Admin)]], Table39[[#This Row],[CNA/NA/Med Aide Contract Hours]])</f>
        <v>1.2914444444444444</v>
      </c>
      <c r="H122" s="4">
        <f>Table39[[#This Row],[Total Contract Hours]]/Table39[[#This Row],[Total Hours Nurse Staffing]]</f>
        <v>7.807624642886651E-3</v>
      </c>
      <c r="I122" s="3">
        <f>SUM(Table39[[#This Row],[RN Hours]], Table39[[#This Row],[RN Admin Hours]], Table39[[#This Row],[RN DON Hours]])</f>
        <v>26.558333333333334</v>
      </c>
      <c r="J122" s="3">
        <f t="shared" si="6"/>
        <v>0</v>
      </c>
      <c r="K122" s="4">
        <f>Table39[[#This Row],[RN Hours Contract (W/ Admin, DON)]]/Table39[[#This Row],[RN Hours (w/ Admin, DON)]]</f>
        <v>0</v>
      </c>
      <c r="L122" s="3">
        <v>13.047222222222222</v>
      </c>
      <c r="M122" s="3">
        <v>0</v>
      </c>
      <c r="N122" s="4">
        <f>Table39[[#This Row],[RN Hours Contract]]/Table39[[#This Row],[RN Hours]]</f>
        <v>0</v>
      </c>
      <c r="O122" s="3">
        <v>8.7111111111111104</v>
      </c>
      <c r="P122" s="3">
        <v>0</v>
      </c>
      <c r="Q122" s="4">
        <f>Table39[[#This Row],[RN Admin Hours Contract]]/Table39[[#This Row],[RN Admin Hours]]</f>
        <v>0</v>
      </c>
      <c r="R122" s="3">
        <v>4.8</v>
      </c>
      <c r="S122" s="3">
        <v>0</v>
      </c>
      <c r="T122" s="4">
        <f>Table39[[#This Row],[RN DON Hours Contract]]/Table39[[#This Row],[RN DON Hours]]</f>
        <v>0</v>
      </c>
      <c r="U122" s="3">
        <f>SUM(Table39[[#This Row],[LPN Hours]], Table39[[#This Row],[LPN Admin Hours]])</f>
        <v>15.641666666666667</v>
      </c>
      <c r="V122" s="3">
        <f>Table39[[#This Row],[LPN Hours Contract]]+Table39[[#This Row],[LPN Admin Hours Contract]]</f>
        <v>0.45833333333333331</v>
      </c>
      <c r="W122" s="4">
        <f t="shared" si="7"/>
        <v>2.9302077783697388E-2</v>
      </c>
      <c r="X122" s="3">
        <v>15.641666666666667</v>
      </c>
      <c r="Y122" s="3">
        <v>0.45833333333333331</v>
      </c>
      <c r="Z122" s="4">
        <f>Table39[[#This Row],[LPN Hours Contract]]/Table39[[#This Row],[LPN Hours]]</f>
        <v>2.9302077783697388E-2</v>
      </c>
      <c r="AA122" s="3">
        <v>0</v>
      </c>
      <c r="AB122" s="3">
        <v>0</v>
      </c>
      <c r="AC122" s="4">
        <v>0</v>
      </c>
      <c r="AD122" s="3">
        <f>SUM(Table39[[#This Row],[CNA Hours]], Table39[[#This Row],[NA in Training Hours]], Table39[[#This Row],[Med Aide/Tech Hours]])</f>
        <v>123.20811111111111</v>
      </c>
      <c r="AE122" s="3">
        <f>SUM(Table39[[#This Row],[CNA Hours Contract]], Table39[[#This Row],[NA in Training Hours Contract]], Table39[[#This Row],[Med Aide/Tech Hours Contract]])</f>
        <v>0.83311111111111102</v>
      </c>
      <c r="AF122" s="4">
        <f>Table39[[#This Row],[CNA/NA/Med Aide Contract Hours]]/Table39[[#This Row],[Total CNA, NA in Training, Med Aide/Tech Hours]]</f>
        <v>6.761820334700186E-3</v>
      </c>
      <c r="AG122" s="3">
        <v>108.53311111111111</v>
      </c>
      <c r="AH122" s="3">
        <v>0.83311111111111102</v>
      </c>
      <c r="AI122" s="4">
        <f>Table39[[#This Row],[CNA Hours Contract]]/Table39[[#This Row],[CNA Hours]]</f>
        <v>7.6761008929174699E-3</v>
      </c>
      <c r="AJ122" s="3">
        <v>0</v>
      </c>
      <c r="AK122" s="3">
        <v>0</v>
      </c>
      <c r="AL122" s="4">
        <v>0</v>
      </c>
      <c r="AM122" s="3">
        <v>14.675000000000001</v>
      </c>
      <c r="AN122" s="3">
        <v>0</v>
      </c>
      <c r="AO122" s="4">
        <f>Table39[[#This Row],[Med Aide/Tech Hours Contract]]/Table39[[#This Row],[Med Aide/Tech Hours]]</f>
        <v>0</v>
      </c>
      <c r="AP122" s="1" t="s">
        <v>120</v>
      </c>
      <c r="AQ122" s="1">
        <v>10</v>
      </c>
    </row>
    <row r="123" spans="1:43" x14ac:dyDescent="0.2">
      <c r="A123" s="1" t="s">
        <v>128</v>
      </c>
      <c r="B123" s="1" t="s">
        <v>250</v>
      </c>
      <c r="C123" s="1" t="s">
        <v>263</v>
      </c>
      <c r="D123" s="1" t="s">
        <v>339</v>
      </c>
      <c r="E123" s="3">
        <v>34.200000000000003</v>
      </c>
      <c r="F123" s="3">
        <f t="shared" si="5"/>
        <v>193.40911111111114</v>
      </c>
      <c r="G123" s="3">
        <f>SUM(Table39[[#This Row],[RN Hours Contract (W/ Admin, DON)]], Table39[[#This Row],[LPN Contract Hours (w/ Admin)]], Table39[[#This Row],[CNA/NA/Med Aide Contract Hours]])</f>
        <v>0</v>
      </c>
      <c r="H123" s="4">
        <f>Table39[[#This Row],[Total Contract Hours]]/Table39[[#This Row],[Total Hours Nurse Staffing]]</f>
        <v>0</v>
      </c>
      <c r="I123" s="3">
        <f>SUM(Table39[[#This Row],[RN Hours]], Table39[[#This Row],[RN Admin Hours]], Table39[[#This Row],[RN DON Hours]])</f>
        <v>28.180111111111113</v>
      </c>
      <c r="J123" s="3">
        <f t="shared" si="6"/>
        <v>0</v>
      </c>
      <c r="K123" s="4">
        <f>Table39[[#This Row],[RN Hours Contract (W/ Admin, DON)]]/Table39[[#This Row],[RN Hours (w/ Admin, DON)]]</f>
        <v>0</v>
      </c>
      <c r="L123" s="3">
        <v>15.691222222222223</v>
      </c>
      <c r="M123" s="3">
        <v>0</v>
      </c>
      <c r="N123" s="4">
        <f>Table39[[#This Row],[RN Hours Contract]]/Table39[[#This Row],[RN Hours]]</f>
        <v>0</v>
      </c>
      <c r="O123" s="3">
        <v>7.4222222222222225</v>
      </c>
      <c r="P123" s="3">
        <v>0</v>
      </c>
      <c r="Q123" s="4">
        <f>Table39[[#This Row],[RN Admin Hours Contract]]/Table39[[#This Row],[RN Admin Hours]]</f>
        <v>0</v>
      </c>
      <c r="R123" s="3">
        <v>5.0666666666666664</v>
      </c>
      <c r="S123" s="3">
        <v>0</v>
      </c>
      <c r="T123" s="4">
        <f>Table39[[#This Row],[RN DON Hours Contract]]/Table39[[#This Row],[RN DON Hours]]</f>
        <v>0</v>
      </c>
      <c r="U123" s="3">
        <f>SUM(Table39[[#This Row],[LPN Hours]], Table39[[#This Row],[LPN Admin Hours]])</f>
        <v>23.916666666666668</v>
      </c>
      <c r="V123" s="3">
        <f>Table39[[#This Row],[LPN Hours Contract]]+Table39[[#This Row],[LPN Admin Hours Contract]]</f>
        <v>0</v>
      </c>
      <c r="W123" s="4">
        <f t="shared" si="7"/>
        <v>0</v>
      </c>
      <c r="X123" s="3">
        <v>23.916666666666668</v>
      </c>
      <c r="Y123" s="3">
        <v>0</v>
      </c>
      <c r="Z123" s="4">
        <f>Table39[[#This Row],[LPN Hours Contract]]/Table39[[#This Row],[LPN Hours]]</f>
        <v>0</v>
      </c>
      <c r="AA123" s="3">
        <v>0</v>
      </c>
      <c r="AB123" s="3">
        <v>0</v>
      </c>
      <c r="AC123" s="4">
        <v>0</v>
      </c>
      <c r="AD123" s="3">
        <f>SUM(Table39[[#This Row],[CNA Hours]], Table39[[#This Row],[NA in Training Hours]], Table39[[#This Row],[Med Aide/Tech Hours]])</f>
        <v>141.31233333333336</v>
      </c>
      <c r="AE123" s="3">
        <f>SUM(Table39[[#This Row],[CNA Hours Contract]], Table39[[#This Row],[NA in Training Hours Contract]], Table39[[#This Row],[Med Aide/Tech Hours Contract]])</f>
        <v>0</v>
      </c>
      <c r="AF123" s="4">
        <f>Table39[[#This Row],[CNA/NA/Med Aide Contract Hours]]/Table39[[#This Row],[Total CNA, NA in Training, Med Aide/Tech Hours]]</f>
        <v>0</v>
      </c>
      <c r="AG123" s="3">
        <v>134.18655555555557</v>
      </c>
      <c r="AH123" s="3">
        <v>0</v>
      </c>
      <c r="AI123" s="4">
        <f>Table39[[#This Row],[CNA Hours Contract]]/Table39[[#This Row],[CNA Hours]]</f>
        <v>0</v>
      </c>
      <c r="AJ123" s="3">
        <v>1.1013333333333333</v>
      </c>
      <c r="AK123" s="3">
        <v>0</v>
      </c>
      <c r="AL123" s="4">
        <f>Table39[[#This Row],[NA in Training Hours Contract]]/Table39[[#This Row],[NA in Training Hours]]</f>
        <v>0</v>
      </c>
      <c r="AM123" s="3">
        <v>6.0244444444444465</v>
      </c>
      <c r="AN123" s="3">
        <v>0</v>
      </c>
      <c r="AO123" s="4">
        <f>Table39[[#This Row],[Med Aide/Tech Hours Contract]]/Table39[[#This Row],[Med Aide/Tech Hours]]</f>
        <v>0</v>
      </c>
      <c r="AP123" s="1" t="s">
        <v>121</v>
      </c>
      <c r="AQ123" s="1">
        <v>10</v>
      </c>
    </row>
    <row r="124" spans="1:43" x14ac:dyDescent="0.2">
      <c r="A124" s="1" t="s">
        <v>128</v>
      </c>
      <c r="B124" s="1" t="s">
        <v>251</v>
      </c>
      <c r="C124" s="1" t="s">
        <v>268</v>
      </c>
      <c r="D124" s="1" t="s">
        <v>326</v>
      </c>
      <c r="E124" s="3">
        <v>11.922222222222222</v>
      </c>
      <c r="F124" s="3">
        <f t="shared" si="5"/>
        <v>93.325000000000003</v>
      </c>
      <c r="G124" s="3">
        <f>SUM(Table39[[#This Row],[RN Hours Contract (W/ Admin, DON)]], Table39[[#This Row],[LPN Contract Hours (w/ Admin)]], Table39[[#This Row],[CNA/NA/Med Aide Contract Hours]])</f>
        <v>27.975000000000001</v>
      </c>
      <c r="H124" s="4">
        <f>Table39[[#This Row],[Total Contract Hours]]/Table39[[#This Row],[Total Hours Nurse Staffing]]</f>
        <v>0.29975890704527192</v>
      </c>
      <c r="I124" s="3">
        <f>SUM(Table39[[#This Row],[RN Hours]], Table39[[#This Row],[RN Admin Hours]], Table39[[#This Row],[RN DON Hours]])</f>
        <v>28.202777777777779</v>
      </c>
      <c r="J124" s="3">
        <f t="shared" si="6"/>
        <v>0</v>
      </c>
      <c r="K124" s="4">
        <f>Table39[[#This Row],[RN Hours Contract (W/ Admin, DON)]]/Table39[[#This Row],[RN Hours (w/ Admin, DON)]]</f>
        <v>0</v>
      </c>
      <c r="L124" s="3">
        <v>19.505555555555556</v>
      </c>
      <c r="M124" s="3">
        <v>0</v>
      </c>
      <c r="N124" s="4">
        <f>Table39[[#This Row],[RN Hours Contract]]/Table39[[#This Row],[RN Hours]]</f>
        <v>0</v>
      </c>
      <c r="O124" s="3">
        <v>4.9416666666666664</v>
      </c>
      <c r="P124" s="3">
        <v>0</v>
      </c>
      <c r="Q124" s="4">
        <f>Table39[[#This Row],[RN Admin Hours Contract]]/Table39[[#This Row],[RN Admin Hours]]</f>
        <v>0</v>
      </c>
      <c r="R124" s="3">
        <v>3.7555555555555555</v>
      </c>
      <c r="S124" s="3">
        <v>0</v>
      </c>
      <c r="T124" s="4">
        <f>Table39[[#This Row],[RN DON Hours Contract]]/Table39[[#This Row],[RN DON Hours]]</f>
        <v>0</v>
      </c>
      <c r="U124" s="3">
        <f>SUM(Table39[[#This Row],[LPN Hours]], Table39[[#This Row],[LPN Admin Hours]])</f>
        <v>5.8166666666666664</v>
      </c>
      <c r="V124" s="3">
        <f>Table39[[#This Row],[LPN Hours Contract]]+Table39[[#This Row],[LPN Admin Hours Contract]]</f>
        <v>0.66666666666666663</v>
      </c>
      <c r="W124" s="4">
        <f t="shared" si="7"/>
        <v>0.11461318051575931</v>
      </c>
      <c r="X124" s="3">
        <v>5.7944444444444443</v>
      </c>
      <c r="Y124" s="3">
        <v>0.66666666666666663</v>
      </c>
      <c r="Z124" s="4">
        <f>Table39[[#This Row],[LPN Hours Contract]]/Table39[[#This Row],[LPN Hours]]</f>
        <v>0.11505273250239693</v>
      </c>
      <c r="AA124" s="3">
        <v>2.2222222222222223E-2</v>
      </c>
      <c r="AB124" s="3">
        <v>0</v>
      </c>
      <c r="AC124" s="4">
        <f>Table39[[#This Row],[LPN Admin Hours Contract]]/Table39[[#This Row],[LPN Admin Hours]]</f>
        <v>0</v>
      </c>
      <c r="AD124" s="3">
        <f>SUM(Table39[[#This Row],[CNA Hours]], Table39[[#This Row],[NA in Training Hours]], Table39[[#This Row],[Med Aide/Tech Hours]])</f>
        <v>59.305555555555557</v>
      </c>
      <c r="AE124" s="3">
        <f>SUM(Table39[[#This Row],[CNA Hours Contract]], Table39[[#This Row],[NA in Training Hours Contract]], Table39[[#This Row],[Med Aide/Tech Hours Contract]])</f>
        <v>27.308333333333334</v>
      </c>
      <c r="AF124" s="4">
        <f>Table39[[#This Row],[CNA/NA/Med Aide Contract Hours]]/Table39[[#This Row],[Total CNA, NA in Training, Med Aide/Tech Hours]]</f>
        <v>0.46046838407494145</v>
      </c>
      <c r="AG124" s="3">
        <v>59.305555555555557</v>
      </c>
      <c r="AH124" s="3">
        <v>27.308333333333334</v>
      </c>
      <c r="AI124" s="4">
        <f>Table39[[#This Row],[CNA Hours Contract]]/Table39[[#This Row],[CNA Hours]]</f>
        <v>0.46046838407494145</v>
      </c>
      <c r="AJ124" s="3">
        <v>0</v>
      </c>
      <c r="AK124" s="3">
        <v>0</v>
      </c>
      <c r="AL124" s="4">
        <v>0</v>
      </c>
      <c r="AM124" s="3">
        <v>0</v>
      </c>
      <c r="AN124" s="3">
        <v>0</v>
      </c>
      <c r="AO124" s="4">
        <v>0</v>
      </c>
      <c r="AP124" s="1" t="s">
        <v>122</v>
      </c>
      <c r="AQ124" s="1">
        <v>10</v>
      </c>
    </row>
    <row r="125" spans="1:43" x14ac:dyDescent="0.2">
      <c r="A125" s="1" t="s">
        <v>128</v>
      </c>
      <c r="B125" s="1" t="s">
        <v>252</v>
      </c>
      <c r="C125" s="1" t="s">
        <v>259</v>
      </c>
      <c r="D125" s="1" t="s">
        <v>322</v>
      </c>
      <c r="E125" s="3">
        <v>66.13333333333334</v>
      </c>
      <c r="F125" s="3">
        <f t="shared" si="5"/>
        <v>330.59388888888884</v>
      </c>
      <c r="G125" s="3">
        <f>SUM(Table39[[#This Row],[RN Hours Contract (W/ Admin, DON)]], Table39[[#This Row],[LPN Contract Hours (w/ Admin)]], Table39[[#This Row],[CNA/NA/Med Aide Contract Hours]])</f>
        <v>0.41055555555555556</v>
      </c>
      <c r="H125" s="4">
        <f>Table39[[#This Row],[Total Contract Hours]]/Table39[[#This Row],[Total Hours Nurse Staffing]]</f>
        <v>1.2418727912225306E-3</v>
      </c>
      <c r="I125" s="3">
        <f>SUM(Table39[[#This Row],[RN Hours]], Table39[[#This Row],[RN Admin Hours]], Table39[[#This Row],[RN DON Hours]])</f>
        <v>22.018888888888888</v>
      </c>
      <c r="J125" s="3">
        <f t="shared" si="6"/>
        <v>0.41055555555555556</v>
      </c>
      <c r="K125" s="4">
        <f>Table39[[#This Row],[RN Hours Contract (W/ Admin, DON)]]/Table39[[#This Row],[RN Hours (w/ Admin, DON)]]</f>
        <v>1.8645607306857749E-2</v>
      </c>
      <c r="L125" s="3">
        <v>7.0277777777777777</v>
      </c>
      <c r="M125" s="3">
        <v>0</v>
      </c>
      <c r="N125" s="4">
        <f>Table39[[#This Row],[RN Hours Contract]]/Table39[[#This Row],[RN Hours]]</f>
        <v>0</v>
      </c>
      <c r="O125" s="3">
        <v>14.991111111111111</v>
      </c>
      <c r="P125" s="3">
        <v>0.41055555555555556</v>
      </c>
      <c r="Q125" s="4">
        <f>Table39[[#This Row],[RN Admin Hours Contract]]/Table39[[#This Row],[RN Admin Hours]]</f>
        <v>2.7386599466350428E-2</v>
      </c>
      <c r="R125" s="3">
        <v>0</v>
      </c>
      <c r="S125" s="3">
        <v>0</v>
      </c>
      <c r="T125" s="4">
        <v>0</v>
      </c>
      <c r="U125" s="3">
        <f>SUM(Table39[[#This Row],[LPN Hours]], Table39[[#This Row],[LPN Admin Hours]])</f>
        <v>50.75277777777778</v>
      </c>
      <c r="V125" s="3">
        <f>Table39[[#This Row],[LPN Hours Contract]]+Table39[[#This Row],[LPN Admin Hours Contract]]</f>
        <v>0</v>
      </c>
      <c r="W125" s="4">
        <f t="shared" si="7"/>
        <v>0</v>
      </c>
      <c r="X125" s="3">
        <v>50.75277777777778</v>
      </c>
      <c r="Y125" s="3">
        <v>0</v>
      </c>
      <c r="Z125" s="4">
        <f>Table39[[#This Row],[LPN Hours Contract]]/Table39[[#This Row],[LPN Hours]]</f>
        <v>0</v>
      </c>
      <c r="AA125" s="3">
        <v>0</v>
      </c>
      <c r="AB125" s="3">
        <v>0</v>
      </c>
      <c r="AC125" s="4">
        <v>0</v>
      </c>
      <c r="AD125" s="3">
        <f>SUM(Table39[[#This Row],[CNA Hours]], Table39[[#This Row],[NA in Training Hours]], Table39[[#This Row],[Med Aide/Tech Hours]])</f>
        <v>257.82222222222219</v>
      </c>
      <c r="AE125" s="3">
        <f>SUM(Table39[[#This Row],[CNA Hours Contract]], Table39[[#This Row],[NA in Training Hours Contract]], Table39[[#This Row],[Med Aide/Tech Hours Contract]])</f>
        <v>0</v>
      </c>
      <c r="AF125" s="4">
        <f>Table39[[#This Row],[CNA/NA/Med Aide Contract Hours]]/Table39[[#This Row],[Total CNA, NA in Training, Med Aide/Tech Hours]]</f>
        <v>0</v>
      </c>
      <c r="AG125" s="3">
        <v>234.45555555555555</v>
      </c>
      <c r="AH125" s="3">
        <v>0</v>
      </c>
      <c r="AI125" s="4">
        <f>Table39[[#This Row],[CNA Hours Contract]]/Table39[[#This Row],[CNA Hours]]</f>
        <v>0</v>
      </c>
      <c r="AJ125" s="3">
        <v>0</v>
      </c>
      <c r="AK125" s="3">
        <v>0</v>
      </c>
      <c r="AL125" s="4">
        <v>0</v>
      </c>
      <c r="AM125" s="3">
        <v>23.366666666666667</v>
      </c>
      <c r="AN125" s="3">
        <v>0</v>
      </c>
      <c r="AO125" s="4">
        <f>Table39[[#This Row],[Med Aide/Tech Hours Contract]]/Table39[[#This Row],[Med Aide/Tech Hours]]</f>
        <v>0</v>
      </c>
      <c r="AP125" s="1" t="s">
        <v>123</v>
      </c>
      <c r="AQ125" s="1">
        <v>10</v>
      </c>
    </row>
    <row r="126" spans="1:43" x14ac:dyDescent="0.2">
      <c r="A126" s="1" t="s">
        <v>128</v>
      </c>
      <c r="B126" s="1" t="s">
        <v>253</v>
      </c>
      <c r="C126" s="1" t="s">
        <v>263</v>
      </c>
      <c r="D126" s="1" t="s">
        <v>334</v>
      </c>
      <c r="E126" s="3">
        <v>19.511111111111113</v>
      </c>
      <c r="F126" s="3">
        <f t="shared" si="5"/>
        <v>105.25033333333334</v>
      </c>
      <c r="G126" s="3">
        <f>SUM(Table39[[#This Row],[RN Hours Contract (W/ Admin, DON)]], Table39[[#This Row],[LPN Contract Hours (w/ Admin)]], Table39[[#This Row],[CNA/NA/Med Aide Contract Hours]])</f>
        <v>0.62222222222222223</v>
      </c>
      <c r="H126" s="4">
        <f>Table39[[#This Row],[Total Contract Hours]]/Table39[[#This Row],[Total Hours Nurse Staffing]]</f>
        <v>5.9118313692329292E-3</v>
      </c>
      <c r="I126" s="3">
        <f>SUM(Table39[[#This Row],[RN Hours]], Table39[[#This Row],[RN Admin Hours]], Table39[[#This Row],[RN DON Hours]])</f>
        <v>24.107444444444447</v>
      </c>
      <c r="J126" s="3">
        <f t="shared" si="6"/>
        <v>0</v>
      </c>
      <c r="K126" s="4">
        <f>Table39[[#This Row],[RN Hours Contract (W/ Admin, DON)]]/Table39[[#This Row],[RN Hours (w/ Admin, DON)]]</f>
        <v>0</v>
      </c>
      <c r="L126" s="3">
        <v>18.418555555555557</v>
      </c>
      <c r="M126" s="3">
        <v>0</v>
      </c>
      <c r="N126" s="4">
        <f>Table39[[#This Row],[RN Hours Contract]]/Table39[[#This Row],[RN Hours]]</f>
        <v>0</v>
      </c>
      <c r="O126" s="3">
        <v>0</v>
      </c>
      <c r="P126" s="3">
        <v>0</v>
      </c>
      <c r="Q126" s="4">
        <v>0</v>
      </c>
      <c r="R126" s="3">
        <v>5.6888888888888891</v>
      </c>
      <c r="S126" s="3">
        <v>0</v>
      </c>
      <c r="T126" s="4">
        <f>Table39[[#This Row],[RN DON Hours Contract]]/Table39[[#This Row],[RN DON Hours]]</f>
        <v>0</v>
      </c>
      <c r="U126" s="3">
        <f>SUM(Table39[[#This Row],[LPN Hours]], Table39[[#This Row],[LPN Admin Hours]])</f>
        <v>14.085888888888888</v>
      </c>
      <c r="V126" s="3">
        <f>Table39[[#This Row],[LPN Hours Contract]]+Table39[[#This Row],[LPN Admin Hours Contract]]</f>
        <v>0.62222222222222223</v>
      </c>
      <c r="W126" s="4">
        <f t="shared" si="7"/>
        <v>4.4173443872117885E-2</v>
      </c>
      <c r="X126" s="3">
        <v>9.2983333333333338</v>
      </c>
      <c r="Y126" s="3">
        <v>0.62222222222222223</v>
      </c>
      <c r="Z126" s="4">
        <f>Table39[[#This Row],[LPN Hours Contract]]/Table39[[#This Row],[LPN Hours]]</f>
        <v>6.6917607695524878E-2</v>
      </c>
      <c r="AA126" s="3">
        <v>4.7875555555555547</v>
      </c>
      <c r="AB126" s="3">
        <v>0</v>
      </c>
      <c r="AC126" s="4">
        <f>Table39[[#This Row],[LPN Admin Hours Contract]]/Table39[[#This Row],[LPN Admin Hours]]</f>
        <v>0</v>
      </c>
      <c r="AD126" s="3">
        <f>SUM(Table39[[#This Row],[CNA Hours]], Table39[[#This Row],[NA in Training Hours]], Table39[[#This Row],[Med Aide/Tech Hours]])</f>
        <v>67.057000000000002</v>
      </c>
      <c r="AE126" s="3">
        <f>SUM(Table39[[#This Row],[CNA Hours Contract]], Table39[[#This Row],[NA in Training Hours Contract]], Table39[[#This Row],[Med Aide/Tech Hours Contract]])</f>
        <v>0</v>
      </c>
      <c r="AF126" s="4">
        <f>Table39[[#This Row],[CNA/NA/Med Aide Contract Hours]]/Table39[[#This Row],[Total CNA, NA in Training, Med Aide/Tech Hours]]</f>
        <v>0</v>
      </c>
      <c r="AG126" s="3">
        <v>67.057000000000002</v>
      </c>
      <c r="AH126" s="3">
        <v>0</v>
      </c>
      <c r="AI126" s="4">
        <f>Table39[[#This Row],[CNA Hours Contract]]/Table39[[#This Row],[CNA Hours]]</f>
        <v>0</v>
      </c>
      <c r="AJ126" s="3">
        <v>0</v>
      </c>
      <c r="AK126" s="3">
        <v>0</v>
      </c>
      <c r="AL126" s="4">
        <v>0</v>
      </c>
      <c r="AM126" s="3">
        <v>0</v>
      </c>
      <c r="AN126" s="3">
        <v>0</v>
      </c>
      <c r="AO126" s="4">
        <v>0</v>
      </c>
      <c r="AP126" s="1" t="s">
        <v>124</v>
      </c>
      <c r="AQ126" s="1">
        <v>10</v>
      </c>
    </row>
    <row r="127" spans="1:43" x14ac:dyDescent="0.2">
      <c r="A127" s="1" t="s">
        <v>128</v>
      </c>
      <c r="B127" s="1" t="s">
        <v>254</v>
      </c>
      <c r="C127" s="1" t="s">
        <v>263</v>
      </c>
      <c r="D127" s="1" t="s">
        <v>334</v>
      </c>
      <c r="E127" s="3">
        <v>39.81111111111111</v>
      </c>
      <c r="F127" s="3">
        <f t="shared" si="5"/>
        <v>114.72611111111109</v>
      </c>
      <c r="G127" s="3">
        <f>SUM(Table39[[#This Row],[RN Hours Contract (W/ Admin, DON)]], Table39[[#This Row],[LPN Contract Hours (w/ Admin)]], Table39[[#This Row],[CNA/NA/Med Aide Contract Hours]])</f>
        <v>12.096666666666664</v>
      </c>
      <c r="H127" s="4">
        <f>Table39[[#This Row],[Total Contract Hours]]/Table39[[#This Row],[Total Hours Nurse Staffing]]</f>
        <v>0.10543952505241952</v>
      </c>
      <c r="I127" s="3">
        <f>SUM(Table39[[#This Row],[RN Hours]], Table39[[#This Row],[RN Admin Hours]], Table39[[#This Row],[RN DON Hours]])</f>
        <v>38.732222222222205</v>
      </c>
      <c r="J127" s="3">
        <f t="shared" si="6"/>
        <v>0</v>
      </c>
      <c r="K127" s="4">
        <f>Table39[[#This Row],[RN Hours Contract (W/ Admin, DON)]]/Table39[[#This Row],[RN Hours (w/ Admin, DON)]]</f>
        <v>0</v>
      </c>
      <c r="L127" s="3">
        <v>21.077777777777779</v>
      </c>
      <c r="M127" s="3">
        <v>0</v>
      </c>
      <c r="N127" s="4">
        <f>Table39[[#This Row],[RN Hours Contract]]/Table39[[#This Row],[RN Hours]]</f>
        <v>0</v>
      </c>
      <c r="O127" s="3">
        <v>17.65444444444443</v>
      </c>
      <c r="P127" s="3">
        <v>0</v>
      </c>
      <c r="Q127" s="4">
        <f>Table39[[#This Row],[RN Admin Hours Contract]]/Table39[[#This Row],[RN Admin Hours]]</f>
        <v>0</v>
      </c>
      <c r="R127" s="3">
        <v>0</v>
      </c>
      <c r="S127" s="3">
        <v>0</v>
      </c>
      <c r="T127" s="4">
        <v>0</v>
      </c>
      <c r="U127" s="3">
        <f>SUM(Table39[[#This Row],[LPN Hours]], Table39[[#This Row],[LPN Admin Hours]])</f>
        <v>0</v>
      </c>
      <c r="V127" s="3">
        <f>Table39[[#This Row],[LPN Hours Contract]]+Table39[[#This Row],[LPN Admin Hours Contract]]</f>
        <v>0</v>
      </c>
      <c r="W127" s="4">
        <v>0</v>
      </c>
      <c r="X127" s="3">
        <v>0</v>
      </c>
      <c r="Y127" s="3">
        <v>0</v>
      </c>
      <c r="Z127" s="4">
        <v>0</v>
      </c>
      <c r="AA127" s="3">
        <v>0</v>
      </c>
      <c r="AB127" s="3">
        <v>0</v>
      </c>
      <c r="AC127" s="4">
        <v>0</v>
      </c>
      <c r="AD127" s="3">
        <f>SUM(Table39[[#This Row],[CNA Hours]], Table39[[#This Row],[NA in Training Hours]], Table39[[#This Row],[Med Aide/Tech Hours]])</f>
        <v>75.99388888888889</v>
      </c>
      <c r="AE127" s="3">
        <f>SUM(Table39[[#This Row],[CNA Hours Contract]], Table39[[#This Row],[NA in Training Hours Contract]], Table39[[#This Row],[Med Aide/Tech Hours Contract]])</f>
        <v>12.096666666666664</v>
      </c>
      <c r="AF127" s="4">
        <f>Table39[[#This Row],[CNA/NA/Med Aide Contract Hours]]/Table39[[#This Row],[Total CNA, NA in Training, Med Aide/Tech Hours]]</f>
        <v>0.15917946618514642</v>
      </c>
      <c r="AG127" s="3">
        <v>65.157222222222217</v>
      </c>
      <c r="AH127" s="3">
        <v>5.9655555555555537</v>
      </c>
      <c r="AI127" s="4">
        <f>Table39[[#This Row],[CNA Hours Contract]]/Table39[[#This Row],[CNA Hours]]</f>
        <v>9.1556321035444158E-2</v>
      </c>
      <c r="AJ127" s="3">
        <v>8.666666666666667E-2</v>
      </c>
      <c r="AK127" s="3">
        <v>8.666666666666667E-2</v>
      </c>
      <c r="AL127" s="4">
        <f>Table39[[#This Row],[NA in Training Hours Contract]]/Table39[[#This Row],[NA in Training Hours]]</f>
        <v>1</v>
      </c>
      <c r="AM127" s="3">
        <v>10.75</v>
      </c>
      <c r="AN127" s="3">
        <v>6.0444444444444443</v>
      </c>
      <c r="AO127" s="4">
        <f>Table39[[#This Row],[Med Aide/Tech Hours Contract]]/Table39[[#This Row],[Med Aide/Tech Hours]]</f>
        <v>0.56227390180878556</v>
      </c>
      <c r="AP127" s="1" t="s">
        <v>125</v>
      </c>
      <c r="AQ127" s="1">
        <v>10</v>
      </c>
    </row>
    <row r="128" spans="1:43" x14ac:dyDescent="0.2">
      <c r="A128" s="1" t="s">
        <v>128</v>
      </c>
      <c r="B128" s="1" t="s">
        <v>255</v>
      </c>
      <c r="C128" s="1" t="s">
        <v>318</v>
      </c>
      <c r="D128" s="1" t="s">
        <v>334</v>
      </c>
      <c r="E128" s="3">
        <v>58.31111111111111</v>
      </c>
      <c r="F128" s="3">
        <f t="shared" si="5"/>
        <v>248.2331111111111</v>
      </c>
      <c r="G128" s="3">
        <f>SUM(Table39[[#This Row],[RN Hours Contract (W/ Admin, DON)]], Table39[[#This Row],[LPN Contract Hours (w/ Admin)]], Table39[[#This Row],[CNA/NA/Med Aide Contract Hours]])</f>
        <v>0.40833333333333333</v>
      </c>
      <c r="H128" s="4">
        <f>Table39[[#This Row],[Total Contract Hours]]/Table39[[#This Row],[Total Hours Nurse Staffing]]</f>
        <v>1.6449591736799371E-3</v>
      </c>
      <c r="I128" s="3">
        <f>SUM(Table39[[#This Row],[RN Hours]], Table39[[#This Row],[RN Admin Hours]], Table39[[#This Row],[RN DON Hours]])</f>
        <v>29.023999999999997</v>
      </c>
      <c r="J128" s="3">
        <f t="shared" si="6"/>
        <v>0.14444444444444443</v>
      </c>
      <c r="K128" s="4">
        <f>Table39[[#This Row],[RN Hours Contract (W/ Admin, DON)]]/Table39[[#This Row],[RN Hours (w/ Admin, DON)]]</f>
        <v>4.9767242435379147E-3</v>
      </c>
      <c r="L128" s="3">
        <v>15.331666666666665</v>
      </c>
      <c r="M128" s="3">
        <v>0.14444444444444443</v>
      </c>
      <c r="N128" s="4">
        <f>Table39[[#This Row],[RN Hours Contract]]/Table39[[#This Row],[RN Hours]]</f>
        <v>9.4213139109323475E-3</v>
      </c>
      <c r="O128" s="3">
        <v>8.4478888888888903</v>
      </c>
      <c r="P128" s="3">
        <v>0</v>
      </c>
      <c r="Q128" s="4">
        <f>Table39[[#This Row],[RN Admin Hours Contract]]/Table39[[#This Row],[RN Admin Hours]]</f>
        <v>0</v>
      </c>
      <c r="R128" s="3">
        <v>5.2444444444444445</v>
      </c>
      <c r="S128" s="3">
        <v>0</v>
      </c>
      <c r="T128" s="4">
        <f>Table39[[#This Row],[RN DON Hours Contract]]/Table39[[#This Row],[RN DON Hours]]</f>
        <v>0</v>
      </c>
      <c r="U128" s="3">
        <f>SUM(Table39[[#This Row],[LPN Hours]], Table39[[#This Row],[LPN Admin Hours]])</f>
        <v>42.376555555555555</v>
      </c>
      <c r="V128" s="3">
        <f>Table39[[#This Row],[LPN Hours Contract]]+Table39[[#This Row],[LPN Admin Hours Contract]]</f>
        <v>0</v>
      </c>
      <c r="W128" s="4">
        <f t="shared" si="7"/>
        <v>0</v>
      </c>
      <c r="X128" s="3">
        <v>42.376555555555555</v>
      </c>
      <c r="Y128" s="3">
        <v>0</v>
      </c>
      <c r="Z128" s="4">
        <f>Table39[[#This Row],[LPN Hours Contract]]/Table39[[#This Row],[LPN Hours]]</f>
        <v>0</v>
      </c>
      <c r="AA128" s="3">
        <v>0</v>
      </c>
      <c r="AB128" s="3">
        <v>0</v>
      </c>
      <c r="AC128" s="4">
        <v>0</v>
      </c>
      <c r="AD128" s="3">
        <f>SUM(Table39[[#This Row],[CNA Hours]], Table39[[#This Row],[NA in Training Hours]], Table39[[#This Row],[Med Aide/Tech Hours]])</f>
        <v>176.83255555555556</v>
      </c>
      <c r="AE128" s="3">
        <f>SUM(Table39[[#This Row],[CNA Hours Contract]], Table39[[#This Row],[NA in Training Hours Contract]], Table39[[#This Row],[Med Aide/Tech Hours Contract]])</f>
        <v>0.2638888888888889</v>
      </c>
      <c r="AF128" s="4">
        <f>Table39[[#This Row],[CNA/NA/Med Aide Contract Hours]]/Table39[[#This Row],[Total CNA, NA in Training, Med Aide/Tech Hours]]</f>
        <v>1.4923094226616141E-3</v>
      </c>
      <c r="AG128" s="3">
        <v>166.05522222222223</v>
      </c>
      <c r="AH128" s="3">
        <v>0.2638888888888889</v>
      </c>
      <c r="AI128" s="4">
        <f>Table39[[#This Row],[CNA Hours Contract]]/Table39[[#This Row],[CNA Hours]]</f>
        <v>1.5891634442892827E-3</v>
      </c>
      <c r="AJ128" s="3">
        <v>0</v>
      </c>
      <c r="AK128" s="3">
        <v>0</v>
      </c>
      <c r="AL128" s="4">
        <v>0</v>
      </c>
      <c r="AM128" s="3">
        <v>10.777333333333338</v>
      </c>
      <c r="AN128" s="3">
        <v>0</v>
      </c>
      <c r="AO128" s="4">
        <f>Table39[[#This Row],[Med Aide/Tech Hours Contract]]/Table39[[#This Row],[Med Aide/Tech Hours]]</f>
        <v>0</v>
      </c>
      <c r="AP128" s="1" t="s">
        <v>126</v>
      </c>
      <c r="AQ128" s="1">
        <v>10</v>
      </c>
    </row>
    <row r="129" spans="1:43" x14ac:dyDescent="0.2">
      <c r="A129" s="1" t="s">
        <v>128</v>
      </c>
      <c r="B129" s="1" t="s">
        <v>256</v>
      </c>
      <c r="C129" s="1" t="s">
        <v>263</v>
      </c>
      <c r="D129" s="1" t="s">
        <v>334</v>
      </c>
      <c r="E129" s="3">
        <v>59.744444444444447</v>
      </c>
      <c r="F129" s="3">
        <f t="shared" si="5"/>
        <v>281.13811111111107</v>
      </c>
      <c r="G129" s="3">
        <f>SUM(Table39[[#This Row],[RN Hours Contract (W/ Admin, DON)]], Table39[[#This Row],[LPN Contract Hours (w/ Admin)]], Table39[[#This Row],[CNA/NA/Med Aide Contract Hours]])</f>
        <v>0</v>
      </c>
      <c r="H129" s="4">
        <f>Table39[[#This Row],[Total Contract Hours]]/Table39[[#This Row],[Total Hours Nurse Staffing]]</f>
        <v>0</v>
      </c>
      <c r="I129" s="3">
        <f>SUM(Table39[[#This Row],[RN Hours]], Table39[[#This Row],[RN Admin Hours]], Table39[[#This Row],[RN DON Hours]])</f>
        <v>22.575555555555553</v>
      </c>
      <c r="J129" s="3">
        <f t="shared" si="6"/>
        <v>0</v>
      </c>
      <c r="K129" s="4">
        <f>Table39[[#This Row],[RN Hours Contract (W/ Admin, DON)]]/Table39[[#This Row],[RN Hours (w/ Admin, DON)]]</f>
        <v>0</v>
      </c>
      <c r="L129" s="3">
        <v>11.047222222222222</v>
      </c>
      <c r="M129" s="3">
        <v>0</v>
      </c>
      <c r="N129" s="4">
        <f>Table39[[#This Row],[RN Hours Contract]]/Table39[[#This Row],[RN Hours]]</f>
        <v>0</v>
      </c>
      <c r="O129" s="3">
        <v>11.528333333333332</v>
      </c>
      <c r="P129" s="3">
        <v>0</v>
      </c>
      <c r="Q129" s="4">
        <f>Table39[[#This Row],[RN Admin Hours Contract]]/Table39[[#This Row],[RN Admin Hours]]</f>
        <v>0</v>
      </c>
      <c r="R129" s="3">
        <v>0</v>
      </c>
      <c r="S129" s="3">
        <v>0</v>
      </c>
      <c r="T129" s="4">
        <v>0</v>
      </c>
      <c r="U129" s="3">
        <f>SUM(Table39[[#This Row],[LPN Hours]], Table39[[#This Row],[LPN Admin Hours]])</f>
        <v>40.243333333333332</v>
      </c>
      <c r="V129" s="3">
        <f>Table39[[#This Row],[LPN Hours Contract]]+Table39[[#This Row],[LPN Admin Hours Contract]]</f>
        <v>0</v>
      </c>
      <c r="W129" s="4">
        <f t="shared" si="7"/>
        <v>0</v>
      </c>
      <c r="X129" s="3">
        <v>28.559444444444445</v>
      </c>
      <c r="Y129" s="3">
        <v>0</v>
      </c>
      <c r="Z129" s="4">
        <f>Table39[[#This Row],[LPN Hours Contract]]/Table39[[#This Row],[LPN Hours]]</f>
        <v>0</v>
      </c>
      <c r="AA129" s="3">
        <v>11.683888888888889</v>
      </c>
      <c r="AB129" s="3">
        <v>0</v>
      </c>
      <c r="AC129" s="4">
        <f>Table39[[#This Row],[LPN Admin Hours Contract]]/Table39[[#This Row],[LPN Admin Hours]]</f>
        <v>0</v>
      </c>
      <c r="AD129" s="3">
        <f>SUM(Table39[[#This Row],[CNA Hours]], Table39[[#This Row],[NA in Training Hours]], Table39[[#This Row],[Med Aide/Tech Hours]])</f>
        <v>218.31922222222221</v>
      </c>
      <c r="AE129" s="3">
        <f>SUM(Table39[[#This Row],[CNA Hours Contract]], Table39[[#This Row],[NA in Training Hours Contract]], Table39[[#This Row],[Med Aide/Tech Hours Contract]])</f>
        <v>0</v>
      </c>
      <c r="AF129" s="4">
        <f>Table39[[#This Row],[CNA/NA/Med Aide Contract Hours]]/Table39[[#This Row],[Total CNA, NA in Training, Med Aide/Tech Hours]]</f>
        <v>0</v>
      </c>
      <c r="AG129" s="3">
        <v>194.68255555555555</v>
      </c>
      <c r="AH129" s="3">
        <v>0</v>
      </c>
      <c r="AI129" s="4">
        <f>Table39[[#This Row],[CNA Hours Contract]]/Table39[[#This Row],[CNA Hours]]</f>
        <v>0</v>
      </c>
      <c r="AJ129" s="3">
        <v>13.261666666666667</v>
      </c>
      <c r="AK129" s="3">
        <v>0</v>
      </c>
      <c r="AL129" s="4">
        <f>Table39[[#This Row],[NA in Training Hours Contract]]/Table39[[#This Row],[NA in Training Hours]]</f>
        <v>0</v>
      </c>
      <c r="AM129" s="3">
        <v>10.375</v>
      </c>
      <c r="AN129" s="3">
        <v>0</v>
      </c>
      <c r="AO129" s="4">
        <f>Table39[[#This Row],[Med Aide/Tech Hours Contract]]/Table39[[#This Row],[Med Aide/Tech Hours]]</f>
        <v>0</v>
      </c>
      <c r="AP129" s="1" t="s">
        <v>127</v>
      </c>
      <c r="AQ129" s="1">
        <v>10</v>
      </c>
    </row>
  </sheetData>
  <dataConsolidate link="1">
    <dataRefs count="1">
      <dataRef ref="H1:J1048576" sheet="Nurse"/>
    </dataRefs>
  </dataConsolidate>
  <phoneticPr fontId="6" type="noConversion"/>
  <pageMargins left="0.7" right="0.7" top="0.75" bottom="0.75" header="0.3" footer="0.3"/>
  <pageSetup orientation="portrait" horizontalDpi="1200" verticalDpi="1200" r:id="rId1"/>
  <ignoredErrors>
    <ignoredError sqref="AP2:AP129" numberStoredAsText="1"/>
    <ignoredError sqref="AD129 AM1:AO1 AM13:AO126 AM2:AO12 K13:AC126 H13:H126 AE2:AL12 AE13:AL126 L2:AC12 A2:E12 A13:F126 A1:AL1 F2:K12 AD2:AD126 G13:G126 I13:J126 I127:J128 G127:G128 AD127:AD128 A127:F128 AE127:AL128 H127:H128 K127:AC128 I129:J129 G129 A129:F129 H129 K129:T129" calculatedColumn="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9E076-5D3A-4995-9449-4025EDC2B017}">
  <dimension ref="A1:AJ129"/>
  <sheetViews>
    <sheetView zoomScale="80" zoomScaleNormal="80" workbookViewId="0">
      <pane xSplit="4" ySplit="1" topLeftCell="E2" activePane="bottomRight" state="frozen"/>
      <selection pane="topRight" activeCell="F1" sqref="F1"/>
      <selection pane="bottomLeft" activeCell="A2" sqref="A2"/>
      <selection pane="bottomRight"/>
    </sheetView>
  </sheetViews>
  <sheetFormatPr baseColWidth="10" defaultColWidth="8.6640625" defaultRowHeight="15" outlineLevelCol="1" x14ac:dyDescent="0.2"/>
  <cols>
    <col min="1" max="1" width="7.6640625" style="1" customWidth="1"/>
    <col min="2" max="2" width="30.6640625" style="1" customWidth="1"/>
    <col min="3" max="4" width="16.6640625" style="1" customWidth="1"/>
    <col min="5" max="12" width="12.6640625" style="1" customWidth="1"/>
    <col min="13" max="14" width="12.6640625" style="1" hidden="1" customWidth="1" outlineLevel="1"/>
    <col min="15" max="15" width="12.6640625" style="1" customWidth="1" collapsed="1"/>
    <col min="16" max="17" width="12.6640625" style="1" hidden="1" customWidth="1" outlineLevel="1"/>
    <col min="18" max="18" width="12.6640625" style="1" customWidth="1" collapsed="1"/>
    <col min="19" max="21" width="12.6640625" style="1" hidden="1" customWidth="1" outlineLevel="1"/>
    <col min="22" max="22" width="12.6640625" style="1" customWidth="1" collapsed="1"/>
    <col min="23" max="25" width="12.6640625" style="1" hidden="1" customWidth="1" outlineLevel="1"/>
    <col min="26" max="26" width="12.6640625" style="1" customWidth="1" collapsed="1"/>
    <col min="27" max="35" width="12.6640625" style="1" customWidth="1"/>
    <col min="36" max="36" width="8.83203125"/>
    <col min="37" max="37" width="11.83203125" style="1" customWidth="1"/>
    <col min="38" max="38" width="8.6640625" style="1"/>
    <col min="39" max="39" width="12.6640625" style="1" customWidth="1"/>
    <col min="40" max="40" width="8.6640625" style="1"/>
    <col min="41" max="49" width="12.6640625" style="1" customWidth="1"/>
    <col min="50" max="51" width="18.5" style="1" customWidth="1"/>
    <col min="52" max="52" width="8.6640625" style="1"/>
    <col min="53" max="53" width="22.1640625" style="1" customWidth="1"/>
    <col min="54" max="16384" width="8.6640625" style="1"/>
  </cols>
  <sheetData>
    <row r="1" spans="1:36" s="5" customFormat="1" ht="150" customHeight="1" x14ac:dyDescent="0.2">
      <c r="A1" s="5" t="s">
        <v>348</v>
      </c>
      <c r="B1" s="5" t="s">
        <v>350</v>
      </c>
      <c r="C1" s="5" t="s">
        <v>366</v>
      </c>
      <c r="D1" s="5" t="s">
        <v>351</v>
      </c>
      <c r="E1" s="5" t="s">
        <v>352</v>
      </c>
      <c r="F1" s="5" t="s">
        <v>394</v>
      </c>
      <c r="G1" s="5" t="s">
        <v>395</v>
      </c>
      <c r="H1" s="5" t="s">
        <v>396</v>
      </c>
      <c r="I1" s="5" t="s">
        <v>397</v>
      </c>
      <c r="J1" s="5" t="s">
        <v>398</v>
      </c>
      <c r="K1" s="5" t="s">
        <v>399</v>
      </c>
      <c r="L1" s="5" t="s">
        <v>400</v>
      </c>
      <c r="M1" s="5" t="s">
        <v>401</v>
      </c>
      <c r="N1" s="5" t="s">
        <v>402</v>
      </c>
      <c r="O1" s="5" t="s">
        <v>403</v>
      </c>
      <c r="P1" s="5" t="s">
        <v>404</v>
      </c>
      <c r="Q1" s="5" t="s">
        <v>405</v>
      </c>
      <c r="R1" s="5" t="s">
        <v>406</v>
      </c>
      <c r="S1" s="5" t="s">
        <v>407</v>
      </c>
      <c r="T1" s="5" t="s">
        <v>408</v>
      </c>
      <c r="U1" s="5" t="s">
        <v>409</v>
      </c>
      <c r="V1" s="5" t="s">
        <v>410</v>
      </c>
      <c r="W1" s="5" t="s">
        <v>411</v>
      </c>
      <c r="X1" s="5" t="s">
        <v>412</v>
      </c>
      <c r="Y1" s="5" t="s">
        <v>413</v>
      </c>
      <c r="Z1" s="5" t="s">
        <v>414</v>
      </c>
      <c r="AA1" s="5" t="s">
        <v>415</v>
      </c>
      <c r="AB1" s="5" t="s">
        <v>416</v>
      </c>
      <c r="AC1" s="5" t="s">
        <v>417</v>
      </c>
      <c r="AD1" s="5" t="s">
        <v>418</v>
      </c>
      <c r="AE1" s="5" t="s">
        <v>419</v>
      </c>
      <c r="AF1" s="5" t="s">
        <v>420</v>
      </c>
      <c r="AG1" s="5" t="s">
        <v>421</v>
      </c>
      <c r="AH1" s="5" t="s">
        <v>349</v>
      </c>
      <c r="AI1" s="5" t="s">
        <v>393</v>
      </c>
    </row>
    <row r="2" spans="1:36" x14ac:dyDescent="0.2">
      <c r="A2" s="1" t="s">
        <v>128</v>
      </c>
      <c r="B2" s="1" t="s">
        <v>129</v>
      </c>
      <c r="C2" s="1" t="s">
        <v>263</v>
      </c>
      <c r="D2" s="1" t="s">
        <v>334</v>
      </c>
      <c r="E2" s="3">
        <v>105.36666666666666</v>
      </c>
      <c r="F2" s="3">
        <v>5.9555555555555557</v>
      </c>
      <c r="G2" s="3">
        <v>2.088888888888889</v>
      </c>
      <c r="H2" s="3">
        <v>0</v>
      </c>
      <c r="I2" s="3">
        <v>3.3222222222222224</v>
      </c>
      <c r="J2" s="3">
        <v>0</v>
      </c>
      <c r="K2" s="3">
        <v>2.0222222222222221</v>
      </c>
      <c r="L2" s="3">
        <v>5.09</v>
      </c>
      <c r="M2" s="3">
        <v>22.31111111111111</v>
      </c>
      <c r="N2" s="3">
        <v>1.7333333333333334</v>
      </c>
      <c r="O2" s="3">
        <f>SUM(Table2[[#This Row],[Qualified Social Work Staff Hours]:[Other Social Work Staff Hours]])/Table2[[#This Row],[MDS Census]]</f>
        <v>0.22819782769165878</v>
      </c>
      <c r="P2" s="3">
        <v>4.9777777777777779</v>
      </c>
      <c r="Q2" s="3">
        <v>8.2111111111111104</v>
      </c>
      <c r="R2" s="3">
        <f>SUM(Table2[[#This Row],[Qualified Activities Professional Hours]:[Other Activities Professional Hours]])/Table2[[#This Row],[MDS Census]]</f>
        <v>0.12517135927449119</v>
      </c>
      <c r="S2" s="3">
        <v>11.376333333333335</v>
      </c>
      <c r="T2" s="3">
        <v>13.793000000000001</v>
      </c>
      <c r="U2" s="3">
        <v>0</v>
      </c>
      <c r="V2" s="3">
        <f>SUM(Table2[[#This Row],[Occupational Therapist Hours]:[OT Aide Hours]])/Table2[[#This Row],[MDS Census]]</f>
        <v>0.23887377412211327</v>
      </c>
      <c r="W2" s="3">
        <v>12.372666666666666</v>
      </c>
      <c r="X2" s="3">
        <v>19.18388888888888</v>
      </c>
      <c r="Y2" s="3">
        <v>0</v>
      </c>
      <c r="Z2" s="3">
        <f>SUM(Table2[[#This Row],[Physical Therapist (PT) Hours]:[PT Aide Hours]])/Table2[[#This Row],[MDS Census]]</f>
        <v>0.299492776547506</v>
      </c>
      <c r="AA2" s="3">
        <v>0</v>
      </c>
      <c r="AB2" s="3">
        <v>0</v>
      </c>
      <c r="AC2" s="3">
        <v>0</v>
      </c>
      <c r="AD2" s="3">
        <v>0</v>
      </c>
      <c r="AE2" s="3">
        <v>0</v>
      </c>
      <c r="AF2" s="3">
        <v>0</v>
      </c>
      <c r="AG2" s="3">
        <v>0</v>
      </c>
      <c r="AH2" s="1" t="s">
        <v>0</v>
      </c>
      <c r="AI2" s="17">
        <v>10</v>
      </c>
      <c r="AJ2" s="1"/>
    </row>
    <row r="3" spans="1:36" x14ac:dyDescent="0.2">
      <c r="A3" s="1" t="s">
        <v>128</v>
      </c>
      <c r="B3" s="1" t="s">
        <v>130</v>
      </c>
      <c r="C3" s="1" t="s">
        <v>279</v>
      </c>
      <c r="D3" s="1" t="s">
        <v>334</v>
      </c>
      <c r="E3" s="3">
        <v>80.011111111111106</v>
      </c>
      <c r="F3" s="3">
        <v>5.512333333333336</v>
      </c>
      <c r="G3" s="3">
        <v>0</v>
      </c>
      <c r="H3" s="3">
        <v>0.55555555555555558</v>
      </c>
      <c r="I3" s="3">
        <v>0.74444444444444446</v>
      </c>
      <c r="J3" s="3">
        <v>0</v>
      </c>
      <c r="K3" s="3">
        <v>0</v>
      </c>
      <c r="L3" s="3">
        <v>5.4364444444444446</v>
      </c>
      <c r="M3" s="3">
        <v>8.6102222222222249</v>
      </c>
      <c r="N3" s="3">
        <v>0</v>
      </c>
      <c r="O3" s="3">
        <f>SUM(Table2[[#This Row],[Qualified Social Work Staff Hours]:[Other Social Work Staff Hours]])/Table2[[#This Row],[MDS Census]]</f>
        <v>0.10761283155117349</v>
      </c>
      <c r="P3" s="3">
        <v>5.4327777777777779</v>
      </c>
      <c r="Q3" s="3">
        <v>4.8301111111111101</v>
      </c>
      <c r="R3" s="3">
        <f>SUM(Table2[[#This Row],[Qualified Activities Professional Hours]:[Other Activities Professional Hours]])/Table2[[#This Row],[MDS Census]]</f>
        <v>0.12826829606999027</v>
      </c>
      <c r="S3" s="3">
        <v>4.426666666666665</v>
      </c>
      <c r="T3" s="3">
        <v>7.8757777777777784</v>
      </c>
      <c r="U3" s="3">
        <v>0</v>
      </c>
      <c r="V3" s="3">
        <f>SUM(Table2[[#This Row],[Occupational Therapist Hours]:[OT Aide Hours]])/Table2[[#This Row],[MDS Census]]</f>
        <v>0.15375920011109567</v>
      </c>
      <c r="W3" s="3">
        <v>4.8847777777777779</v>
      </c>
      <c r="X3" s="3">
        <v>7.1916666666666655</v>
      </c>
      <c r="Y3" s="3">
        <v>0</v>
      </c>
      <c r="Z3" s="3">
        <f>SUM(Table2[[#This Row],[Physical Therapist (PT) Hours]:[PT Aide Hours]])/Table2[[#This Row],[MDS Census]]</f>
        <v>0.15093459241771978</v>
      </c>
      <c r="AA3" s="3">
        <v>0</v>
      </c>
      <c r="AB3" s="3">
        <v>0</v>
      </c>
      <c r="AC3" s="3">
        <v>0</v>
      </c>
      <c r="AD3" s="3">
        <v>0</v>
      </c>
      <c r="AE3" s="3">
        <v>0</v>
      </c>
      <c r="AF3" s="3">
        <v>0</v>
      </c>
      <c r="AG3" s="3">
        <v>2.3111111111111109</v>
      </c>
      <c r="AH3" s="1" t="s">
        <v>1</v>
      </c>
      <c r="AI3" s="17">
        <v>10</v>
      </c>
      <c r="AJ3" s="1"/>
    </row>
    <row r="4" spans="1:36" x14ac:dyDescent="0.2">
      <c r="A4" s="1" t="s">
        <v>128</v>
      </c>
      <c r="B4" s="1" t="s">
        <v>131</v>
      </c>
      <c r="C4" s="1" t="s">
        <v>280</v>
      </c>
      <c r="D4" s="1" t="s">
        <v>322</v>
      </c>
      <c r="E4" s="3">
        <v>65.5</v>
      </c>
      <c r="F4" s="3">
        <v>59.436888888888866</v>
      </c>
      <c r="G4" s="3">
        <v>0</v>
      </c>
      <c r="H4" s="3">
        <v>0</v>
      </c>
      <c r="I4" s="3">
        <v>3.459111111111111</v>
      </c>
      <c r="J4" s="3">
        <v>0</v>
      </c>
      <c r="K4" s="3">
        <v>0</v>
      </c>
      <c r="L4" s="3">
        <v>3.0803333333333343</v>
      </c>
      <c r="M4" s="3">
        <v>0</v>
      </c>
      <c r="N4" s="3">
        <v>0</v>
      </c>
      <c r="O4" s="3">
        <f>SUM(Table2[[#This Row],[Qualified Social Work Staff Hours]:[Other Social Work Staff Hours]])/Table2[[#This Row],[MDS Census]]</f>
        <v>0</v>
      </c>
      <c r="P4" s="3">
        <v>3.8484444444444446</v>
      </c>
      <c r="Q4" s="3">
        <v>2.9756666666666667</v>
      </c>
      <c r="R4" s="3">
        <f>SUM(Table2[[#This Row],[Qualified Activities Professional Hours]:[Other Activities Professional Hours]])/Table2[[#This Row],[MDS Census]]</f>
        <v>0.10418490245971163</v>
      </c>
      <c r="S4" s="3">
        <v>13.014222222222221</v>
      </c>
      <c r="T4" s="3">
        <v>0.58099999999999996</v>
      </c>
      <c r="U4" s="3">
        <v>0</v>
      </c>
      <c r="V4" s="3">
        <f>SUM(Table2[[#This Row],[Occupational Therapist Hours]:[OT Aide Hours]])/Table2[[#This Row],[MDS Census]]</f>
        <v>0.20756064461407972</v>
      </c>
      <c r="W4" s="3">
        <v>17.90388888888889</v>
      </c>
      <c r="X4" s="3">
        <v>0</v>
      </c>
      <c r="Y4" s="3">
        <v>7.5148888888888878</v>
      </c>
      <c r="Z4" s="3">
        <f>SUM(Table2[[#This Row],[Physical Therapist (PT) Hours]:[PT Aide Hours]])/Table2[[#This Row],[MDS Census]]</f>
        <v>0.38807294317217977</v>
      </c>
      <c r="AA4" s="3">
        <v>0</v>
      </c>
      <c r="AB4" s="3">
        <v>0</v>
      </c>
      <c r="AC4" s="3">
        <v>0</v>
      </c>
      <c r="AD4" s="3">
        <v>0</v>
      </c>
      <c r="AE4" s="3">
        <v>0</v>
      </c>
      <c r="AF4" s="3">
        <v>0</v>
      </c>
      <c r="AG4" s="3">
        <v>0</v>
      </c>
      <c r="AH4" s="1" t="s">
        <v>2</v>
      </c>
      <c r="AI4" s="17">
        <v>10</v>
      </c>
      <c r="AJ4" s="1"/>
    </row>
    <row r="5" spans="1:36" x14ac:dyDescent="0.2">
      <c r="A5" s="1" t="s">
        <v>128</v>
      </c>
      <c r="B5" s="1" t="s">
        <v>132</v>
      </c>
      <c r="C5" s="1" t="s">
        <v>273</v>
      </c>
      <c r="D5" s="1" t="s">
        <v>319</v>
      </c>
      <c r="E5" s="3">
        <v>47.588888888888889</v>
      </c>
      <c r="F5" s="3">
        <v>5.5111111111111111</v>
      </c>
      <c r="G5" s="3">
        <v>0.61111111111111116</v>
      </c>
      <c r="H5" s="3">
        <v>0</v>
      </c>
      <c r="I5" s="3">
        <v>1.5111111111111111</v>
      </c>
      <c r="J5" s="3">
        <v>0</v>
      </c>
      <c r="K5" s="3">
        <v>0</v>
      </c>
      <c r="L5" s="3">
        <v>4.5138888888888893</v>
      </c>
      <c r="M5" s="3">
        <v>5.3111111111111109</v>
      </c>
      <c r="N5" s="3">
        <v>0</v>
      </c>
      <c r="O5" s="3">
        <f>SUM(Table2[[#This Row],[Qualified Social Work Staff Hours]:[Other Social Work Staff Hours]])/Table2[[#This Row],[MDS Census]]</f>
        <v>0.11160401587672192</v>
      </c>
      <c r="P5" s="3">
        <v>4.322222222222222</v>
      </c>
      <c r="Q5" s="3">
        <v>0</v>
      </c>
      <c r="R5" s="3">
        <f>SUM(Table2[[#This Row],[Qualified Activities Professional Hours]:[Other Activities Professional Hours]])/Table2[[#This Row],[MDS Census]]</f>
        <v>9.0824188652813442E-2</v>
      </c>
      <c r="S5" s="3">
        <v>4.6760000000000002</v>
      </c>
      <c r="T5" s="3">
        <v>5.3212222222222225</v>
      </c>
      <c r="U5" s="3">
        <v>0</v>
      </c>
      <c r="V5" s="3">
        <f>SUM(Table2[[#This Row],[Occupational Therapist Hours]:[OT Aide Hours]])/Table2[[#This Row],[MDS Census]]</f>
        <v>0.21007471398552419</v>
      </c>
      <c r="W5" s="3">
        <v>10.915333333333333</v>
      </c>
      <c r="X5" s="3">
        <v>4.2387777777777789</v>
      </c>
      <c r="Y5" s="3">
        <v>0</v>
      </c>
      <c r="Z5" s="3">
        <f>SUM(Table2[[#This Row],[Physical Therapist (PT) Hours]:[PT Aide Hours]])/Table2[[#This Row],[MDS Census]]</f>
        <v>0.31843801074013545</v>
      </c>
      <c r="AA5" s="3">
        <v>0.45</v>
      </c>
      <c r="AB5" s="3">
        <v>0</v>
      </c>
      <c r="AC5" s="3">
        <v>0</v>
      </c>
      <c r="AD5" s="3">
        <v>0</v>
      </c>
      <c r="AE5" s="3">
        <v>0</v>
      </c>
      <c r="AF5" s="3">
        <v>0</v>
      </c>
      <c r="AG5" s="3">
        <v>0</v>
      </c>
      <c r="AH5" s="1" t="s">
        <v>3</v>
      </c>
      <c r="AI5" s="17">
        <v>10</v>
      </c>
      <c r="AJ5" s="1"/>
    </row>
    <row r="6" spans="1:36" x14ac:dyDescent="0.2">
      <c r="A6" s="1" t="s">
        <v>128</v>
      </c>
      <c r="B6" s="1" t="s">
        <v>133</v>
      </c>
      <c r="C6" s="1" t="s">
        <v>263</v>
      </c>
      <c r="D6" s="1" t="s">
        <v>334</v>
      </c>
      <c r="E6" s="3">
        <v>82.4</v>
      </c>
      <c r="F6" s="3">
        <v>5.1555555555555559</v>
      </c>
      <c r="G6" s="3">
        <v>1.0666666666666667</v>
      </c>
      <c r="H6" s="3">
        <v>0</v>
      </c>
      <c r="I6" s="3">
        <v>2.3333333333333335</v>
      </c>
      <c r="J6" s="3">
        <v>2.3111111111111109</v>
      </c>
      <c r="K6" s="3">
        <v>0</v>
      </c>
      <c r="L6" s="3">
        <v>2.1299999999999994</v>
      </c>
      <c r="M6" s="3">
        <v>5.6</v>
      </c>
      <c r="N6" s="3">
        <v>5.3111111111111109</v>
      </c>
      <c r="O6" s="3">
        <f>SUM(Table2[[#This Row],[Qualified Social Work Staff Hours]:[Other Social Work Staff Hours]])/Table2[[#This Row],[MDS Census]]</f>
        <v>0.13241639697950378</v>
      </c>
      <c r="P6" s="3">
        <v>5.3388888888888886</v>
      </c>
      <c r="Q6" s="3">
        <v>0</v>
      </c>
      <c r="R6" s="3">
        <f>SUM(Table2[[#This Row],[Qualified Activities Professional Hours]:[Other Activities Professional Hours]])/Table2[[#This Row],[MDS Census]]</f>
        <v>6.479234088457389E-2</v>
      </c>
      <c r="S6" s="3">
        <v>7.147777777777776</v>
      </c>
      <c r="T6" s="3">
        <v>3.6677777777777774</v>
      </c>
      <c r="U6" s="3">
        <v>0</v>
      </c>
      <c r="V6" s="3">
        <f>SUM(Table2[[#This Row],[Occupational Therapist Hours]:[OT Aide Hours]])/Table2[[#This Row],[MDS Census]]</f>
        <v>0.13125674217907224</v>
      </c>
      <c r="W6" s="3">
        <v>6.4352222222222242</v>
      </c>
      <c r="X6" s="3">
        <v>7.5555555555555554</v>
      </c>
      <c r="Y6" s="3">
        <v>0</v>
      </c>
      <c r="Z6" s="3">
        <f>SUM(Table2[[#This Row],[Physical Therapist (PT) Hours]:[PT Aide Hours]])/Table2[[#This Row],[MDS Census]]</f>
        <v>0.16979099244875945</v>
      </c>
      <c r="AA6" s="3">
        <v>0</v>
      </c>
      <c r="AB6" s="3">
        <v>0</v>
      </c>
      <c r="AC6" s="3">
        <v>0</v>
      </c>
      <c r="AD6" s="3">
        <v>0</v>
      </c>
      <c r="AE6" s="3">
        <v>0</v>
      </c>
      <c r="AF6" s="3">
        <v>0</v>
      </c>
      <c r="AG6" s="3">
        <v>0</v>
      </c>
      <c r="AH6" s="1" t="s">
        <v>4</v>
      </c>
      <c r="AI6" s="17">
        <v>10</v>
      </c>
      <c r="AJ6" s="1"/>
    </row>
    <row r="7" spans="1:36" x14ac:dyDescent="0.2">
      <c r="A7" s="1" t="s">
        <v>128</v>
      </c>
      <c r="B7" s="1" t="s">
        <v>134</v>
      </c>
      <c r="C7" s="1" t="s">
        <v>263</v>
      </c>
      <c r="D7" s="1" t="s">
        <v>334</v>
      </c>
      <c r="E7" s="3">
        <v>63.333333333333336</v>
      </c>
      <c r="F7" s="3">
        <v>11.03888888888889</v>
      </c>
      <c r="G7" s="3">
        <v>0</v>
      </c>
      <c r="H7" s="3">
        <v>0</v>
      </c>
      <c r="I7" s="3">
        <v>1.1444444444444444</v>
      </c>
      <c r="J7" s="3">
        <v>0</v>
      </c>
      <c r="K7" s="3">
        <v>0</v>
      </c>
      <c r="L7" s="3">
        <v>1.4517777777777778</v>
      </c>
      <c r="M7" s="3">
        <v>4.6307777777777783</v>
      </c>
      <c r="N7" s="3">
        <v>5.3658888888888887</v>
      </c>
      <c r="O7" s="3">
        <f>SUM(Table2[[#This Row],[Qualified Social Work Staff Hours]:[Other Social Work Staff Hours]])/Table2[[#This Row],[MDS Census]]</f>
        <v>0.15784210526315787</v>
      </c>
      <c r="P7" s="3">
        <v>4.5997777777777786</v>
      </c>
      <c r="Q7" s="3">
        <v>0</v>
      </c>
      <c r="R7" s="3">
        <f>SUM(Table2[[#This Row],[Qualified Activities Professional Hours]:[Other Activities Professional Hours]])/Table2[[#This Row],[MDS Census]]</f>
        <v>7.2628070175438611E-2</v>
      </c>
      <c r="S7" s="3">
        <v>6.0330000000000013</v>
      </c>
      <c r="T7" s="3">
        <v>0.70077777777777783</v>
      </c>
      <c r="U7" s="3">
        <v>0</v>
      </c>
      <c r="V7" s="3">
        <f>SUM(Table2[[#This Row],[Occupational Therapist Hours]:[OT Aide Hours]])/Table2[[#This Row],[MDS Census]]</f>
        <v>0.10632280701754387</v>
      </c>
      <c r="W7" s="3">
        <v>2.880666666666666</v>
      </c>
      <c r="X7" s="3">
        <v>4.7428888888888894</v>
      </c>
      <c r="Y7" s="3">
        <v>2.4888888888888889</v>
      </c>
      <c r="Z7" s="3">
        <f>SUM(Table2[[#This Row],[Physical Therapist (PT) Hours]:[PT Aide Hours]])/Table2[[#This Row],[MDS Census]]</f>
        <v>0.15967017543859649</v>
      </c>
      <c r="AA7" s="3">
        <v>0</v>
      </c>
      <c r="AB7" s="3">
        <v>0</v>
      </c>
      <c r="AC7" s="3">
        <v>0</v>
      </c>
      <c r="AD7" s="3">
        <v>0</v>
      </c>
      <c r="AE7" s="3">
        <v>0</v>
      </c>
      <c r="AF7" s="3">
        <v>0</v>
      </c>
      <c r="AG7" s="3">
        <v>0</v>
      </c>
      <c r="AH7" s="1" t="s">
        <v>5</v>
      </c>
      <c r="AI7" s="17">
        <v>10</v>
      </c>
      <c r="AJ7" s="1"/>
    </row>
    <row r="8" spans="1:36" x14ac:dyDescent="0.2">
      <c r="A8" s="1" t="s">
        <v>128</v>
      </c>
      <c r="B8" s="1" t="s">
        <v>135</v>
      </c>
      <c r="C8" s="1" t="s">
        <v>263</v>
      </c>
      <c r="D8" s="1" t="s">
        <v>334</v>
      </c>
      <c r="E8" s="3">
        <v>59</v>
      </c>
      <c r="F8" s="3">
        <v>5.35</v>
      </c>
      <c r="G8" s="3">
        <v>0</v>
      </c>
      <c r="H8" s="3">
        <v>0</v>
      </c>
      <c r="I8" s="3">
        <v>2.1055555555555556</v>
      </c>
      <c r="J8" s="3">
        <v>4.4388888888888891</v>
      </c>
      <c r="K8" s="3">
        <v>2.8888888888888888</v>
      </c>
      <c r="L8" s="3">
        <v>4.9376666666666669</v>
      </c>
      <c r="M8" s="3">
        <v>5.2527777777777782</v>
      </c>
      <c r="N8" s="3">
        <v>4.9333333333333336</v>
      </c>
      <c r="O8" s="3">
        <f>SUM(Table2[[#This Row],[Qualified Social Work Staff Hours]:[Other Social Work Staff Hours]])/Table2[[#This Row],[MDS Census]]</f>
        <v>0.17264595103578156</v>
      </c>
      <c r="P8" s="3">
        <v>5.2333333333333334</v>
      </c>
      <c r="Q8" s="3">
        <v>2.4697777777777778</v>
      </c>
      <c r="R8" s="3">
        <f>SUM(Table2[[#This Row],[Qualified Activities Professional Hours]:[Other Activities Professional Hours]])/Table2[[#This Row],[MDS Census]]</f>
        <v>0.13056120527306969</v>
      </c>
      <c r="S8" s="3">
        <v>4.2657777777777772</v>
      </c>
      <c r="T8" s="3">
        <v>0.44377777777777777</v>
      </c>
      <c r="U8" s="3">
        <v>0</v>
      </c>
      <c r="V8" s="3">
        <f>SUM(Table2[[#This Row],[Occupational Therapist Hours]:[OT Aide Hours]])/Table2[[#This Row],[MDS Census]]</f>
        <v>7.9822975517890762E-2</v>
      </c>
      <c r="W8" s="3">
        <v>4.2764444444444472</v>
      </c>
      <c r="X8" s="3">
        <v>5.4444444444444448E-2</v>
      </c>
      <c r="Y8" s="3">
        <v>0</v>
      </c>
      <c r="Z8" s="3">
        <f>SUM(Table2[[#This Row],[Physical Therapist (PT) Hours]:[PT Aide Hours]])/Table2[[#This Row],[MDS Census]]</f>
        <v>7.3404896421845611E-2</v>
      </c>
      <c r="AA8" s="3">
        <v>0</v>
      </c>
      <c r="AB8" s="3">
        <v>0</v>
      </c>
      <c r="AC8" s="3">
        <v>0</v>
      </c>
      <c r="AD8" s="3">
        <v>0</v>
      </c>
      <c r="AE8" s="3">
        <v>0</v>
      </c>
      <c r="AF8" s="3">
        <v>0</v>
      </c>
      <c r="AG8" s="3">
        <v>0</v>
      </c>
      <c r="AH8" s="1" t="s">
        <v>6</v>
      </c>
      <c r="AI8" s="17">
        <v>10</v>
      </c>
      <c r="AJ8" s="1"/>
    </row>
    <row r="9" spans="1:36" x14ac:dyDescent="0.2">
      <c r="A9" s="1" t="s">
        <v>128</v>
      </c>
      <c r="B9" s="1" t="s">
        <v>136</v>
      </c>
      <c r="C9" s="1" t="s">
        <v>281</v>
      </c>
      <c r="D9" s="1" t="s">
        <v>335</v>
      </c>
      <c r="E9" s="3">
        <v>49.155555555555559</v>
      </c>
      <c r="F9" s="3">
        <v>26.465</v>
      </c>
      <c r="G9" s="3">
        <v>0</v>
      </c>
      <c r="H9" s="3">
        <v>0.31144444444444463</v>
      </c>
      <c r="I9" s="3">
        <v>0.77222222222222225</v>
      </c>
      <c r="J9" s="3">
        <v>0</v>
      </c>
      <c r="K9" s="3">
        <v>0</v>
      </c>
      <c r="L9" s="3">
        <v>2.8687777777777783</v>
      </c>
      <c r="M9" s="3">
        <v>5.2444444444444445</v>
      </c>
      <c r="N9" s="3">
        <v>0</v>
      </c>
      <c r="O9" s="3">
        <f>SUM(Table2[[#This Row],[Qualified Social Work Staff Hours]:[Other Social Work Staff Hours]])/Table2[[#This Row],[MDS Census]]</f>
        <v>0.10669077757685352</v>
      </c>
      <c r="P9" s="3">
        <v>4.7694444444444448</v>
      </c>
      <c r="Q9" s="3">
        <v>0.26722222222222225</v>
      </c>
      <c r="R9" s="3">
        <f>SUM(Table2[[#This Row],[Qualified Activities Professional Hours]:[Other Activities Professional Hours]])/Table2[[#This Row],[MDS Census]]</f>
        <v>0.10246383363471971</v>
      </c>
      <c r="S9" s="3">
        <v>2.9024444444444453</v>
      </c>
      <c r="T9" s="3">
        <v>8.0010000000000012</v>
      </c>
      <c r="U9" s="3">
        <v>0</v>
      </c>
      <c r="V9" s="3">
        <f>SUM(Table2[[#This Row],[Occupational Therapist Hours]:[OT Aide Hours]])/Table2[[#This Row],[MDS Census]]</f>
        <v>0.22181509945750455</v>
      </c>
      <c r="W9" s="3">
        <v>5.2188888888888885</v>
      </c>
      <c r="X9" s="3">
        <v>4.5189999999999992</v>
      </c>
      <c r="Y9" s="3">
        <v>0</v>
      </c>
      <c r="Z9" s="3">
        <f>SUM(Table2[[#This Row],[Physical Therapist (PT) Hours]:[PT Aide Hours]])/Table2[[#This Row],[MDS Census]]</f>
        <v>0.19810352622061478</v>
      </c>
      <c r="AA9" s="3">
        <v>0</v>
      </c>
      <c r="AB9" s="3">
        <v>0</v>
      </c>
      <c r="AC9" s="3">
        <v>0</v>
      </c>
      <c r="AD9" s="3">
        <v>0</v>
      </c>
      <c r="AE9" s="3">
        <v>0</v>
      </c>
      <c r="AF9" s="3">
        <v>0</v>
      </c>
      <c r="AG9" s="3">
        <v>0</v>
      </c>
      <c r="AH9" s="1" t="s">
        <v>7</v>
      </c>
      <c r="AI9" s="17">
        <v>10</v>
      </c>
      <c r="AJ9" s="1"/>
    </row>
    <row r="10" spans="1:36" x14ac:dyDescent="0.2">
      <c r="A10" s="1" t="s">
        <v>128</v>
      </c>
      <c r="B10" s="1" t="s">
        <v>137</v>
      </c>
      <c r="C10" s="1" t="s">
        <v>282</v>
      </c>
      <c r="D10" s="1" t="s">
        <v>336</v>
      </c>
      <c r="E10" s="3">
        <v>60.366666666666667</v>
      </c>
      <c r="F10" s="3">
        <v>5.7779999999999996</v>
      </c>
      <c r="G10" s="3">
        <v>1.1111111111111112E-2</v>
      </c>
      <c r="H10" s="3">
        <v>0.35</v>
      </c>
      <c r="I10" s="3">
        <v>0.45277777777777778</v>
      </c>
      <c r="J10" s="3">
        <v>0</v>
      </c>
      <c r="K10" s="3">
        <v>0.38333333333333336</v>
      </c>
      <c r="L10" s="3">
        <v>0.36066666666666669</v>
      </c>
      <c r="M10" s="3">
        <v>0</v>
      </c>
      <c r="N10" s="3">
        <v>5.0861111111111112</v>
      </c>
      <c r="O10" s="3">
        <f>SUM(Table2[[#This Row],[Qualified Social Work Staff Hours]:[Other Social Work Staff Hours]])/Table2[[#This Row],[MDS Census]]</f>
        <v>8.4253635192343093E-2</v>
      </c>
      <c r="P10" s="3">
        <v>0</v>
      </c>
      <c r="Q10" s="3">
        <v>10.069444444444445</v>
      </c>
      <c r="R10" s="3">
        <f>SUM(Table2[[#This Row],[Qualified Activities Professional Hours]:[Other Activities Professional Hours]])/Table2[[#This Row],[MDS Census]]</f>
        <v>0.16680471194551813</v>
      </c>
      <c r="S10" s="3">
        <v>0.63955555555555554</v>
      </c>
      <c r="T10" s="3">
        <v>2.7856666666666667</v>
      </c>
      <c r="U10" s="3">
        <v>0</v>
      </c>
      <c r="V10" s="3">
        <f>SUM(Table2[[#This Row],[Occupational Therapist Hours]:[OT Aide Hours]])/Table2[[#This Row],[MDS Census]]</f>
        <v>5.6740290815387444E-2</v>
      </c>
      <c r="W10" s="3">
        <v>0.60077777777777774</v>
      </c>
      <c r="X10" s="3">
        <v>2.5885555555555557</v>
      </c>
      <c r="Y10" s="3">
        <v>0</v>
      </c>
      <c r="Z10" s="3">
        <f>SUM(Table2[[#This Row],[Physical Therapist (PT) Hours]:[PT Aide Hours]])/Table2[[#This Row],[MDS Census]]</f>
        <v>5.2832689122032025E-2</v>
      </c>
      <c r="AA10" s="3">
        <v>0</v>
      </c>
      <c r="AB10" s="3">
        <v>3.1111111111111112</v>
      </c>
      <c r="AC10" s="3">
        <v>0</v>
      </c>
      <c r="AD10" s="3">
        <v>0</v>
      </c>
      <c r="AE10" s="3">
        <v>0</v>
      </c>
      <c r="AF10" s="3">
        <v>0</v>
      </c>
      <c r="AG10" s="3">
        <v>0</v>
      </c>
      <c r="AH10" s="1" t="s">
        <v>8</v>
      </c>
      <c r="AI10" s="17">
        <v>10</v>
      </c>
      <c r="AJ10" s="1"/>
    </row>
    <row r="11" spans="1:36" x14ac:dyDescent="0.2">
      <c r="A11" s="1" t="s">
        <v>128</v>
      </c>
      <c r="B11" s="1" t="s">
        <v>138</v>
      </c>
      <c r="C11" s="1" t="s">
        <v>281</v>
      </c>
      <c r="D11" s="1" t="s">
        <v>335</v>
      </c>
      <c r="E11" s="3">
        <v>73.222222222222229</v>
      </c>
      <c r="F11" s="3">
        <v>5.333333333333333</v>
      </c>
      <c r="G11" s="3">
        <v>0.75555555555555554</v>
      </c>
      <c r="H11" s="3">
        <v>0.25555555555555554</v>
      </c>
      <c r="I11" s="3">
        <v>1.5111111111111111</v>
      </c>
      <c r="J11" s="3">
        <v>0</v>
      </c>
      <c r="K11" s="3">
        <v>0</v>
      </c>
      <c r="L11" s="3">
        <v>2.4446666666666661</v>
      </c>
      <c r="M11" s="3">
        <v>5.1916666666666664</v>
      </c>
      <c r="N11" s="3">
        <v>0</v>
      </c>
      <c r="O11" s="3">
        <f>SUM(Table2[[#This Row],[Qualified Social Work Staff Hours]:[Other Social Work Staff Hours]])/Table2[[#This Row],[MDS Census]]</f>
        <v>7.0902883156297405E-2</v>
      </c>
      <c r="P11" s="3">
        <v>4.8083333333333336</v>
      </c>
      <c r="Q11" s="3">
        <v>0</v>
      </c>
      <c r="R11" s="3">
        <f>SUM(Table2[[#This Row],[Qualified Activities Professional Hours]:[Other Activities Professional Hours]])/Table2[[#This Row],[MDS Census]]</f>
        <v>6.5667678300455237E-2</v>
      </c>
      <c r="S11" s="3">
        <v>4.2465555555555552</v>
      </c>
      <c r="T11" s="3">
        <v>5.0787777777777778</v>
      </c>
      <c r="U11" s="3">
        <v>0</v>
      </c>
      <c r="V11" s="3">
        <f>SUM(Table2[[#This Row],[Occupational Therapist Hours]:[OT Aide Hours]])/Table2[[#This Row],[MDS Census]]</f>
        <v>0.12735660091047041</v>
      </c>
      <c r="W11" s="3">
        <v>9.4594444444444452</v>
      </c>
      <c r="X11" s="3">
        <v>4.7112222222222222</v>
      </c>
      <c r="Y11" s="3">
        <v>0</v>
      </c>
      <c r="Z11" s="3">
        <f>SUM(Table2[[#This Row],[Physical Therapist (PT) Hours]:[PT Aide Hours]])/Table2[[#This Row],[MDS Census]]</f>
        <v>0.19352959028831562</v>
      </c>
      <c r="AA11" s="3">
        <v>0</v>
      </c>
      <c r="AB11" s="3">
        <v>0</v>
      </c>
      <c r="AC11" s="3">
        <v>0</v>
      </c>
      <c r="AD11" s="3">
        <v>0</v>
      </c>
      <c r="AE11" s="3">
        <v>0</v>
      </c>
      <c r="AF11" s="3">
        <v>0</v>
      </c>
      <c r="AG11" s="3">
        <v>0</v>
      </c>
      <c r="AH11" s="1" t="s">
        <v>9</v>
      </c>
      <c r="AI11" s="17">
        <v>10</v>
      </c>
      <c r="AJ11" s="1"/>
    </row>
    <row r="12" spans="1:36" x14ac:dyDescent="0.2">
      <c r="A12" s="1" t="s">
        <v>128</v>
      </c>
      <c r="B12" s="1" t="s">
        <v>139</v>
      </c>
      <c r="C12" s="1" t="s">
        <v>263</v>
      </c>
      <c r="D12" s="1" t="s">
        <v>334</v>
      </c>
      <c r="E12" s="3">
        <v>43.055555555555557</v>
      </c>
      <c r="F12" s="3">
        <v>4.6611111111111114</v>
      </c>
      <c r="G12" s="3">
        <v>0</v>
      </c>
      <c r="H12" s="3">
        <v>0</v>
      </c>
      <c r="I12" s="3">
        <v>1.1263333333333334</v>
      </c>
      <c r="J12" s="3">
        <v>0</v>
      </c>
      <c r="K12" s="3">
        <v>1.4517777777777781</v>
      </c>
      <c r="L12" s="3">
        <v>2.4814444444444446</v>
      </c>
      <c r="M12" s="3">
        <v>5.9450000000000012</v>
      </c>
      <c r="N12" s="3">
        <v>0</v>
      </c>
      <c r="O12" s="3">
        <f>SUM(Table2[[#This Row],[Qualified Social Work Staff Hours]:[Other Social Work Staff Hours]])/Table2[[#This Row],[MDS Census]]</f>
        <v>0.13807741935483872</v>
      </c>
      <c r="P12" s="3">
        <v>4.4148888888888891</v>
      </c>
      <c r="Q12" s="3">
        <v>9.7078888888888919</v>
      </c>
      <c r="R12" s="3">
        <f>SUM(Table2[[#This Row],[Qualified Activities Professional Hours]:[Other Activities Professional Hours]])/Table2[[#This Row],[MDS Census]]</f>
        <v>0.32801290322580651</v>
      </c>
      <c r="S12" s="3">
        <v>6.1175555555555601</v>
      </c>
      <c r="T12" s="3">
        <v>8.1000000000000003E-2</v>
      </c>
      <c r="U12" s="3">
        <v>0</v>
      </c>
      <c r="V12" s="3">
        <f>SUM(Table2[[#This Row],[Occupational Therapist Hours]:[OT Aide Hours]])/Table2[[#This Row],[MDS Census]]</f>
        <v>0.14396645161290333</v>
      </c>
      <c r="W12" s="3">
        <v>1.8767777777777781</v>
      </c>
      <c r="X12" s="3">
        <v>4.0607777777777772</v>
      </c>
      <c r="Y12" s="3">
        <v>2.4444444444444446</v>
      </c>
      <c r="Z12" s="3">
        <f>SUM(Table2[[#This Row],[Physical Therapist (PT) Hours]:[PT Aide Hours]])/Table2[[#This Row],[MDS Census]]</f>
        <v>0.19467870967741935</v>
      </c>
      <c r="AA12" s="3">
        <v>0</v>
      </c>
      <c r="AB12" s="3">
        <v>0</v>
      </c>
      <c r="AC12" s="3">
        <v>0</v>
      </c>
      <c r="AD12" s="3">
        <v>0</v>
      </c>
      <c r="AE12" s="3">
        <v>0</v>
      </c>
      <c r="AF12" s="3">
        <v>0</v>
      </c>
      <c r="AG12" s="3">
        <v>0</v>
      </c>
      <c r="AH12" s="1" t="s">
        <v>10</v>
      </c>
      <c r="AI12" s="17">
        <v>10</v>
      </c>
      <c r="AJ12" s="1"/>
    </row>
    <row r="13" spans="1:36" x14ac:dyDescent="0.2">
      <c r="A13" s="1" t="s">
        <v>128</v>
      </c>
      <c r="B13" s="1" t="s">
        <v>140</v>
      </c>
      <c r="C13" s="1" t="s">
        <v>283</v>
      </c>
      <c r="D13" s="1" t="s">
        <v>337</v>
      </c>
      <c r="E13" s="3">
        <v>41.8</v>
      </c>
      <c r="F13" s="3">
        <v>6.5637777777777808</v>
      </c>
      <c r="G13" s="3">
        <v>0.21666666666666667</v>
      </c>
      <c r="H13" s="3">
        <v>0</v>
      </c>
      <c r="I13" s="3">
        <v>0.33055555555555555</v>
      </c>
      <c r="J13" s="3">
        <v>0</v>
      </c>
      <c r="K13" s="3">
        <v>0</v>
      </c>
      <c r="L13" s="3">
        <v>2.5692222222222227</v>
      </c>
      <c r="M13" s="3">
        <v>5.4233333333333338</v>
      </c>
      <c r="N13" s="3">
        <v>0</v>
      </c>
      <c r="O13" s="3">
        <f>SUM(Table2[[#This Row],[Qualified Social Work Staff Hours]:[Other Social Work Staff Hours]])/Table2[[#This Row],[MDS Census]]</f>
        <v>0.12974481658692186</v>
      </c>
      <c r="P13" s="3">
        <v>5.0413333333333341</v>
      </c>
      <c r="Q13" s="3">
        <v>8.7675555555555604</v>
      </c>
      <c r="R13" s="3">
        <f>SUM(Table2[[#This Row],[Qualified Activities Professional Hours]:[Other Activities Professional Hours]])/Table2[[#This Row],[MDS Census]]</f>
        <v>0.3303561935140884</v>
      </c>
      <c r="S13" s="3">
        <v>1.0183333333333333</v>
      </c>
      <c r="T13" s="3">
        <v>11.057333333333332</v>
      </c>
      <c r="U13" s="3">
        <v>0</v>
      </c>
      <c r="V13" s="3">
        <f>SUM(Table2[[#This Row],[Occupational Therapist Hours]:[OT Aide Hours]])/Table2[[#This Row],[MDS Census]]</f>
        <v>0.28889154704944175</v>
      </c>
      <c r="W13" s="3">
        <v>4.0419999999999989</v>
      </c>
      <c r="X13" s="3">
        <v>7.6873333333333358</v>
      </c>
      <c r="Y13" s="3">
        <v>0</v>
      </c>
      <c r="Z13" s="3">
        <f>SUM(Table2[[#This Row],[Physical Therapist (PT) Hours]:[PT Aide Hours]])/Table2[[#This Row],[MDS Census]]</f>
        <v>0.28060606060606064</v>
      </c>
      <c r="AA13" s="3">
        <v>0</v>
      </c>
      <c r="AB13" s="3">
        <v>0</v>
      </c>
      <c r="AC13" s="3">
        <v>0</v>
      </c>
      <c r="AD13" s="3">
        <v>0</v>
      </c>
      <c r="AE13" s="3">
        <v>0</v>
      </c>
      <c r="AF13" s="3">
        <v>0</v>
      </c>
      <c r="AG13" s="3">
        <v>0</v>
      </c>
      <c r="AH13" s="1" t="s">
        <v>11</v>
      </c>
      <c r="AI13" s="17">
        <v>10</v>
      </c>
      <c r="AJ13" s="1"/>
    </row>
    <row r="14" spans="1:36" x14ac:dyDescent="0.2">
      <c r="A14" s="1" t="s">
        <v>128</v>
      </c>
      <c r="B14" s="1" t="s">
        <v>141</v>
      </c>
      <c r="C14" s="1" t="s">
        <v>279</v>
      </c>
      <c r="D14" s="1" t="s">
        <v>334</v>
      </c>
      <c r="E14" s="3">
        <v>59.06666666666667</v>
      </c>
      <c r="F14" s="3">
        <v>0</v>
      </c>
      <c r="G14" s="3">
        <v>0</v>
      </c>
      <c r="H14" s="3">
        <v>0</v>
      </c>
      <c r="I14" s="3">
        <v>0</v>
      </c>
      <c r="J14" s="3">
        <v>0</v>
      </c>
      <c r="K14" s="3">
        <v>0</v>
      </c>
      <c r="L14" s="3">
        <v>3.7600000000000002</v>
      </c>
      <c r="M14" s="3">
        <v>0</v>
      </c>
      <c r="N14" s="3">
        <v>5.0733333333333333</v>
      </c>
      <c r="O14" s="3">
        <f>SUM(Table2[[#This Row],[Qualified Social Work Staff Hours]:[Other Social Work Staff Hours]])/Table2[[#This Row],[MDS Census]]</f>
        <v>8.5891647855530467E-2</v>
      </c>
      <c r="P14" s="3">
        <v>0</v>
      </c>
      <c r="Q14" s="3">
        <v>0</v>
      </c>
      <c r="R14" s="3">
        <f>SUM(Table2[[#This Row],[Qualified Activities Professional Hours]:[Other Activities Professional Hours]])/Table2[[#This Row],[MDS Census]]</f>
        <v>0</v>
      </c>
      <c r="S14" s="3">
        <v>10.147666666666671</v>
      </c>
      <c r="T14" s="3">
        <v>4.1897777777777767</v>
      </c>
      <c r="U14" s="3">
        <v>0</v>
      </c>
      <c r="V14" s="3">
        <f>SUM(Table2[[#This Row],[Occupational Therapist Hours]:[OT Aide Hours]])/Table2[[#This Row],[MDS Census]]</f>
        <v>0.24273325808878859</v>
      </c>
      <c r="W14" s="3">
        <v>4.2397777777777765</v>
      </c>
      <c r="X14" s="3">
        <v>12.956444444444443</v>
      </c>
      <c r="Y14" s="3">
        <v>0</v>
      </c>
      <c r="Z14" s="3">
        <f>SUM(Table2[[#This Row],[Physical Therapist (PT) Hours]:[PT Aide Hours]])/Table2[[#This Row],[MDS Census]]</f>
        <v>0.29113243039879599</v>
      </c>
      <c r="AA14" s="3">
        <v>0</v>
      </c>
      <c r="AB14" s="3">
        <v>0</v>
      </c>
      <c r="AC14" s="3">
        <v>0</v>
      </c>
      <c r="AD14" s="3">
        <v>0</v>
      </c>
      <c r="AE14" s="3">
        <v>0</v>
      </c>
      <c r="AF14" s="3">
        <v>0</v>
      </c>
      <c r="AG14" s="3">
        <v>0</v>
      </c>
      <c r="AH14" s="1" t="s">
        <v>12</v>
      </c>
      <c r="AI14" s="17">
        <v>10</v>
      </c>
      <c r="AJ14" s="1"/>
    </row>
    <row r="15" spans="1:36" x14ac:dyDescent="0.2">
      <c r="A15" s="1" t="s">
        <v>128</v>
      </c>
      <c r="B15" s="1" t="s">
        <v>142</v>
      </c>
      <c r="C15" s="1" t="s">
        <v>284</v>
      </c>
      <c r="D15" s="1" t="s">
        <v>323</v>
      </c>
      <c r="E15" s="3">
        <v>62.777777777777779</v>
      </c>
      <c r="F15" s="3">
        <v>32.999111111111112</v>
      </c>
      <c r="G15" s="3">
        <v>0</v>
      </c>
      <c r="H15" s="3">
        <v>0.44833333333333353</v>
      </c>
      <c r="I15" s="3">
        <v>1.0055555555555555</v>
      </c>
      <c r="J15" s="3">
        <v>0</v>
      </c>
      <c r="K15" s="3">
        <v>0</v>
      </c>
      <c r="L15" s="3">
        <v>3.7337777777777781</v>
      </c>
      <c r="M15" s="3">
        <v>4.5529999999999999</v>
      </c>
      <c r="N15" s="3">
        <v>3.5822222222222218</v>
      </c>
      <c r="O15" s="3">
        <f>SUM(Table2[[#This Row],[Qualified Social Work Staff Hours]:[Other Social Work Staff Hours]])/Table2[[#This Row],[MDS Census]]</f>
        <v>0.12958761061946902</v>
      </c>
      <c r="P15" s="3">
        <v>3.7472222222222222</v>
      </c>
      <c r="Q15" s="3">
        <v>1.1474444444444445</v>
      </c>
      <c r="R15" s="3">
        <f>SUM(Table2[[#This Row],[Qualified Activities Professional Hours]:[Other Activities Professional Hours]])/Table2[[#This Row],[MDS Census]]</f>
        <v>7.7968141592920356E-2</v>
      </c>
      <c r="S15" s="3">
        <v>3.3244444444444454</v>
      </c>
      <c r="T15" s="3">
        <v>6.8765555555555551</v>
      </c>
      <c r="U15" s="3">
        <v>0</v>
      </c>
      <c r="V15" s="3">
        <f>SUM(Table2[[#This Row],[Occupational Therapist Hours]:[OT Aide Hours]])/Table2[[#This Row],[MDS Census]]</f>
        <v>0.16249380530973451</v>
      </c>
      <c r="W15" s="3">
        <v>6.3102222222222215</v>
      </c>
      <c r="X15" s="3">
        <v>8.2457777777777768</v>
      </c>
      <c r="Y15" s="3">
        <v>0</v>
      </c>
      <c r="Z15" s="3">
        <f>SUM(Table2[[#This Row],[Physical Therapist (PT) Hours]:[PT Aide Hours]])/Table2[[#This Row],[MDS Census]]</f>
        <v>0.23186548672566368</v>
      </c>
      <c r="AA15" s="3">
        <v>0</v>
      </c>
      <c r="AB15" s="3">
        <v>0</v>
      </c>
      <c r="AC15" s="3">
        <v>0</v>
      </c>
      <c r="AD15" s="3">
        <v>0</v>
      </c>
      <c r="AE15" s="3">
        <v>0</v>
      </c>
      <c r="AF15" s="3">
        <v>0</v>
      </c>
      <c r="AG15" s="3">
        <v>0</v>
      </c>
      <c r="AH15" s="1" t="s">
        <v>13</v>
      </c>
      <c r="AI15" s="17">
        <v>10</v>
      </c>
      <c r="AJ15" s="1"/>
    </row>
    <row r="16" spans="1:36" x14ac:dyDescent="0.2">
      <c r="A16" s="1" t="s">
        <v>128</v>
      </c>
      <c r="B16" s="1" t="s">
        <v>143</v>
      </c>
      <c r="C16" s="1" t="s">
        <v>262</v>
      </c>
      <c r="D16" s="1" t="s">
        <v>335</v>
      </c>
      <c r="E16" s="3">
        <v>67.288888888888891</v>
      </c>
      <c r="F16" s="3">
        <v>5.6</v>
      </c>
      <c r="G16" s="3">
        <v>1.1555555555555554</v>
      </c>
      <c r="H16" s="3">
        <v>0.33333333333333331</v>
      </c>
      <c r="I16" s="3">
        <v>0.5</v>
      </c>
      <c r="J16" s="3">
        <v>0</v>
      </c>
      <c r="K16" s="3">
        <v>0</v>
      </c>
      <c r="L16" s="3">
        <v>2.9486666666666674</v>
      </c>
      <c r="M16" s="3">
        <v>13.480555555555556</v>
      </c>
      <c r="N16" s="3">
        <v>0</v>
      </c>
      <c r="O16" s="3">
        <f>SUM(Table2[[#This Row],[Qualified Social Work Staff Hours]:[Other Social Work Staff Hours]])/Table2[[#This Row],[MDS Census]]</f>
        <v>0.2003385072655218</v>
      </c>
      <c r="P16" s="3">
        <v>5.3361111111111112</v>
      </c>
      <c r="Q16" s="3">
        <v>4.4138888888888888</v>
      </c>
      <c r="R16" s="3">
        <f>SUM(Table2[[#This Row],[Qualified Activities Professional Hours]:[Other Activities Professional Hours]])/Table2[[#This Row],[MDS Census]]</f>
        <v>0.14489762219286656</v>
      </c>
      <c r="S16" s="3">
        <v>5.7458888888888904</v>
      </c>
      <c r="T16" s="3">
        <v>6.4289999999999976</v>
      </c>
      <c r="U16" s="3">
        <v>0</v>
      </c>
      <c r="V16" s="3">
        <f>SUM(Table2[[#This Row],[Occupational Therapist Hours]:[OT Aide Hours]])/Table2[[#This Row],[MDS Census]]</f>
        <v>0.18093461030383087</v>
      </c>
      <c r="W16" s="3">
        <v>5.3965555555555547</v>
      </c>
      <c r="X16" s="3">
        <v>7.2574444444444453</v>
      </c>
      <c r="Y16" s="3">
        <v>0</v>
      </c>
      <c r="Z16" s="3">
        <f>SUM(Table2[[#This Row],[Physical Therapist (PT) Hours]:[PT Aide Hours]])/Table2[[#This Row],[MDS Census]]</f>
        <v>0.18805482166446499</v>
      </c>
      <c r="AA16" s="3">
        <v>0</v>
      </c>
      <c r="AB16" s="3">
        <v>0</v>
      </c>
      <c r="AC16" s="3">
        <v>0</v>
      </c>
      <c r="AD16" s="3">
        <v>0</v>
      </c>
      <c r="AE16" s="3">
        <v>0</v>
      </c>
      <c r="AF16" s="3">
        <v>0</v>
      </c>
      <c r="AG16" s="3">
        <v>0</v>
      </c>
      <c r="AH16" s="1" t="s">
        <v>14</v>
      </c>
      <c r="AI16" s="17">
        <v>10</v>
      </c>
      <c r="AJ16" s="1"/>
    </row>
    <row r="17" spans="1:36" x14ac:dyDescent="0.2">
      <c r="A17" s="1" t="s">
        <v>128</v>
      </c>
      <c r="B17" s="1" t="s">
        <v>144</v>
      </c>
      <c r="C17" s="1" t="s">
        <v>273</v>
      </c>
      <c r="D17" s="1" t="s">
        <v>319</v>
      </c>
      <c r="E17" s="3">
        <v>55.93333333333333</v>
      </c>
      <c r="F17" s="3">
        <v>32.108111111111114</v>
      </c>
      <c r="G17" s="3">
        <v>0</v>
      </c>
      <c r="H17" s="3">
        <v>0.4273333333333334</v>
      </c>
      <c r="I17" s="3">
        <v>1.1444444444444444</v>
      </c>
      <c r="J17" s="3">
        <v>0</v>
      </c>
      <c r="K17" s="3">
        <v>0</v>
      </c>
      <c r="L17" s="3">
        <v>5.2652222222222225</v>
      </c>
      <c r="M17" s="3">
        <v>9.9308888888888891</v>
      </c>
      <c r="N17" s="3">
        <v>0</v>
      </c>
      <c r="O17" s="3">
        <f>SUM(Table2[[#This Row],[Qualified Social Work Staff Hours]:[Other Social Work Staff Hours]])/Table2[[#This Row],[MDS Census]]</f>
        <v>0.17754866905045691</v>
      </c>
      <c r="P17" s="3">
        <v>4.3005555555555555</v>
      </c>
      <c r="Q17" s="3">
        <v>0</v>
      </c>
      <c r="R17" s="3">
        <f>SUM(Table2[[#This Row],[Qualified Activities Professional Hours]:[Other Activities Professional Hours]])/Table2[[#This Row],[MDS Census]]</f>
        <v>7.6887167262614228E-2</v>
      </c>
      <c r="S17" s="3">
        <v>5.3697777777777773</v>
      </c>
      <c r="T17" s="3">
        <v>4.7753333333333341</v>
      </c>
      <c r="U17" s="3">
        <v>0</v>
      </c>
      <c r="V17" s="3">
        <f>SUM(Table2[[#This Row],[Occupational Therapist Hours]:[OT Aide Hours]])/Table2[[#This Row],[MDS Census]]</f>
        <v>0.1813786253476361</v>
      </c>
      <c r="W17" s="3">
        <v>6.2208888888888865</v>
      </c>
      <c r="X17" s="3">
        <v>5.2403333333333322</v>
      </c>
      <c r="Y17" s="3">
        <v>0</v>
      </c>
      <c r="Z17" s="3">
        <f>SUM(Table2[[#This Row],[Physical Therapist (PT) Hours]:[PT Aide Hours]])/Table2[[#This Row],[MDS Census]]</f>
        <v>0.20490862137465232</v>
      </c>
      <c r="AA17" s="3">
        <v>0</v>
      </c>
      <c r="AB17" s="3">
        <v>0</v>
      </c>
      <c r="AC17" s="3">
        <v>0</v>
      </c>
      <c r="AD17" s="3">
        <v>0</v>
      </c>
      <c r="AE17" s="3">
        <v>0</v>
      </c>
      <c r="AF17" s="3">
        <v>0</v>
      </c>
      <c r="AG17" s="3">
        <v>0</v>
      </c>
      <c r="AH17" s="1" t="s">
        <v>15</v>
      </c>
      <c r="AI17" s="17">
        <v>10</v>
      </c>
      <c r="AJ17" s="1"/>
    </row>
    <row r="18" spans="1:36" x14ac:dyDescent="0.2">
      <c r="A18" s="1" t="s">
        <v>128</v>
      </c>
      <c r="B18" s="1" t="s">
        <v>145</v>
      </c>
      <c r="C18" s="1" t="s">
        <v>285</v>
      </c>
      <c r="D18" s="1" t="s">
        <v>338</v>
      </c>
      <c r="E18" s="3">
        <v>41.411111111111111</v>
      </c>
      <c r="F18" s="3">
        <v>5.6166666666666663</v>
      </c>
      <c r="G18" s="3">
        <v>0</v>
      </c>
      <c r="H18" s="3">
        <v>0</v>
      </c>
      <c r="I18" s="3">
        <v>1.0555555555555556</v>
      </c>
      <c r="J18" s="3">
        <v>0</v>
      </c>
      <c r="K18" s="3">
        <v>0</v>
      </c>
      <c r="L18" s="3">
        <v>1.1086666666666665</v>
      </c>
      <c r="M18" s="3">
        <v>0</v>
      </c>
      <c r="N18" s="3">
        <v>4.1707777777777775</v>
      </c>
      <c r="O18" s="3">
        <f>SUM(Table2[[#This Row],[Qualified Social Work Staff Hours]:[Other Social Work Staff Hours]])/Table2[[#This Row],[MDS Census]]</f>
        <v>0.1007163938824792</v>
      </c>
      <c r="P18" s="3">
        <v>4.6173333333333337</v>
      </c>
      <c r="Q18" s="3">
        <v>1.3399999999999999</v>
      </c>
      <c r="R18" s="3">
        <f>SUM(Table2[[#This Row],[Qualified Activities Professional Hours]:[Other Activities Professional Hours]])/Table2[[#This Row],[MDS Census]]</f>
        <v>0.14385833109739737</v>
      </c>
      <c r="S18" s="3">
        <v>5.2210000000000001</v>
      </c>
      <c r="T18" s="3">
        <v>0</v>
      </c>
      <c r="U18" s="3">
        <v>0</v>
      </c>
      <c r="V18" s="3">
        <f>SUM(Table2[[#This Row],[Occupational Therapist Hours]:[OT Aide Hours]])/Table2[[#This Row],[MDS Census]]</f>
        <v>0.12607727394687415</v>
      </c>
      <c r="W18" s="3">
        <v>2.3082222222222222</v>
      </c>
      <c r="X18" s="3">
        <v>1.886444444444445</v>
      </c>
      <c r="Y18" s="3">
        <v>0</v>
      </c>
      <c r="Z18" s="3">
        <f>SUM(Table2[[#This Row],[Physical Therapist (PT) Hours]:[PT Aide Hours]])/Table2[[#This Row],[MDS Census]]</f>
        <v>0.10129326536088008</v>
      </c>
      <c r="AA18" s="3">
        <v>0</v>
      </c>
      <c r="AB18" s="3">
        <v>0</v>
      </c>
      <c r="AC18" s="3">
        <v>0</v>
      </c>
      <c r="AD18" s="3">
        <v>0</v>
      </c>
      <c r="AE18" s="3">
        <v>0</v>
      </c>
      <c r="AF18" s="3">
        <v>0</v>
      </c>
      <c r="AG18" s="3">
        <v>0</v>
      </c>
      <c r="AH18" s="1" t="s">
        <v>16</v>
      </c>
      <c r="AI18" s="17">
        <v>10</v>
      </c>
      <c r="AJ18" s="1"/>
    </row>
    <row r="19" spans="1:36" x14ac:dyDescent="0.2">
      <c r="A19" s="1" t="s">
        <v>128</v>
      </c>
      <c r="B19" s="1" t="s">
        <v>146</v>
      </c>
      <c r="C19" s="1" t="s">
        <v>265</v>
      </c>
      <c r="D19" s="1" t="s">
        <v>331</v>
      </c>
      <c r="E19" s="3">
        <v>57.133333333333333</v>
      </c>
      <c r="F19" s="3">
        <v>10.611111111111111</v>
      </c>
      <c r="G19" s="3">
        <v>0</v>
      </c>
      <c r="H19" s="3">
        <v>0</v>
      </c>
      <c r="I19" s="3">
        <v>1.5555555555555556</v>
      </c>
      <c r="J19" s="3">
        <v>0.12688888888888888</v>
      </c>
      <c r="K19" s="3">
        <v>0</v>
      </c>
      <c r="L19" s="3">
        <v>2.5515555555555562</v>
      </c>
      <c r="M19" s="3">
        <v>6.8692222222222208</v>
      </c>
      <c r="N19" s="3">
        <v>5.0577777777777779</v>
      </c>
      <c r="O19" s="3">
        <f>SUM(Table2[[#This Row],[Qualified Social Work Staff Hours]:[Other Social Work Staff Hours]])/Table2[[#This Row],[MDS Census]]</f>
        <v>0.20875729288214703</v>
      </c>
      <c r="P19" s="3">
        <v>5.77</v>
      </c>
      <c r="Q19" s="3">
        <v>1.0722222222222222</v>
      </c>
      <c r="R19" s="3">
        <f>SUM(Table2[[#This Row],[Qualified Activities Professional Hours]:[Other Activities Professional Hours]])/Table2[[#This Row],[MDS Census]]</f>
        <v>0.11975884869700505</v>
      </c>
      <c r="S19" s="3">
        <v>5.2761111111111116</v>
      </c>
      <c r="T19" s="3">
        <v>8.5883333333333347</v>
      </c>
      <c r="U19" s="3">
        <v>0</v>
      </c>
      <c r="V19" s="3">
        <f>SUM(Table2[[#This Row],[Occupational Therapist Hours]:[OT Aide Hours]])/Table2[[#This Row],[MDS Census]]</f>
        <v>0.24266822248152473</v>
      </c>
      <c r="W19" s="3">
        <v>3.9665555555555558</v>
      </c>
      <c r="X19" s="3">
        <v>7.3993333333333355</v>
      </c>
      <c r="Y19" s="3">
        <v>0</v>
      </c>
      <c r="Z19" s="3">
        <f>SUM(Table2[[#This Row],[Physical Therapist (PT) Hours]:[PT Aide Hours]])/Table2[[#This Row],[MDS Census]]</f>
        <v>0.19893621159082073</v>
      </c>
      <c r="AA19" s="3">
        <v>0</v>
      </c>
      <c r="AB19" s="3">
        <v>0</v>
      </c>
      <c r="AC19" s="3">
        <v>0</v>
      </c>
      <c r="AD19" s="3">
        <v>0</v>
      </c>
      <c r="AE19" s="3">
        <v>0</v>
      </c>
      <c r="AF19" s="3">
        <v>0</v>
      </c>
      <c r="AG19" s="3">
        <v>0.4777777777777778</v>
      </c>
      <c r="AH19" s="1" t="s">
        <v>17</v>
      </c>
      <c r="AI19" s="17">
        <v>10</v>
      </c>
      <c r="AJ19" s="1"/>
    </row>
    <row r="20" spans="1:36" x14ac:dyDescent="0.2">
      <c r="A20" s="1" t="s">
        <v>128</v>
      </c>
      <c r="B20" s="1" t="s">
        <v>147</v>
      </c>
      <c r="C20" s="1" t="s">
        <v>263</v>
      </c>
      <c r="D20" s="1" t="s">
        <v>334</v>
      </c>
      <c r="E20" s="3">
        <v>87.288888888888891</v>
      </c>
      <c r="F20" s="3">
        <v>4.8888888888888893</v>
      </c>
      <c r="G20" s="3">
        <v>0.43611111111111112</v>
      </c>
      <c r="H20" s="3">
        <v>0.24722222222222223</v>
      </c>
      <c r="I20" s="3">
        <v>9.9861111111111107</v>
      </c>
      <c r="J20" s="3">
        <v>0</v>
      </c>
      <c r="K20" s="3">
        <v>0</v>
      </c>
      <c r="L20" s="3">
        <v>4.863888888888888</v>
      </c>
      <c r="M20" s="3">
        <v>0</v>
      </c>
      <c r="N20" s="3">
        <v>12.641666666666667</v>
      </c>
      <c r="O20" s="3">
        <f>SUM(Table2[[#This Row],[Qualified Social Work Staff Hours]:[Other Social Work Staff Hours]])/Table2[[#This Row],[MDS Census]]</f>
        <v>0.14482561099796334</v>
      </c>
      <c r="P20" s="3">
        <v>5.7833333333333332</v>
      </c>
      <c r="Q20" s="3">
        <v>12.416666666666666</v>
      </c>
      <c r="R20" s="3">
        <f>SUM(Table2[[#This Row],[Qualified Activities Professional Hours]:[Other Activities Professional Hours]])/Table2[[#This Row],[MDS Census]]</f>
        <v>0.20850305498981669</v>
      </c>
      <c r="S20" s="3">
        <v>16.498777777777775</v>
      </c>
      <c r="T20" s="3">
        <v>0.12411111111111112</v>
      </c>
      <c r="U20" s="3">
        <v>0</v>
      </c>
      <c r="V20" s="3">
        <f>SUM(Table2[[#This Row],[Occupational Therapist Hours]:[OT Aide Hours]])/Table2[[#This Row],[MDS Census]]</f>
        <v>0.19043533604887983</v>
      </c>
      <c r="W20" s="3">
        <v>13.759333333333334</v>
      </c>
      <c r="X20" s="3">
        <v>5.4466666666666663</v>
      </c>
      <c r="Y20" s="3">
        <v>0</v>
      </c>
      <c r="Z20" s="3">
        <f>SUM(Table2[[#This Row],[Physical Therapist (PT) Hours]:[PT Aide Hours]])/Table2[[#This Row],[MDS Census]]</f>
        <v>0.22002800407331974</v>
      </c>
      <c r="AA20" s="3">
        <v>0</v>
      </c>
      <c r="AB20" s="3">
        <v>0</v>
      </c>
      <c r="AC20" s="3">
        <v>0</v>
      </c>
      <c r="AD20" s="3">
        <v>0</v>
      </c>
      <c r="AE20" s="3">
        <v>0</v>
      </c>
      <c r="AF20" s="3">
        <v>0</v>
      </c>
      <c r="AG20" s="3">
        <v>0</v>
      </c>
      <c r="AH20" s="1" t="s">
        <v>18</v>
      </c>
      <c r="AI20" s="17">
        <v>10</v>
      </c>
      <c r="AJ20" s="1"/>
    </row>
    <row r="21" spans="1:36" x14ac:dyDescent="0.2">
      <c r="A21" s="1" t="s">
        <v>128</v>
      </c>
      <c r="B21" s="1" t="s">
        <v>148</v>
      </c>
      <c r="C21" s="1" t="s">
        <v>274</v>
      </c>
      <c r="D21" s="1" t="s">
        <v>329</v>
      </c>
      <c r="E21" s="3">
        <v>20.422222222222221</v>
      </c>
      <c r="F21" s="3">
        <v>0</v>
      </c>
      <c r="G21" s="3">
        <v>0</v>
      </c>
      <c r="H21" s="3">
        <v>0</v>
      </c>
      <c r="I21" s="3">
        <v>0</v>
      </c>
      <c r="J21" s="3">
        <v>0</v>
      </c>
      <c r="K21" s="3">
        <v>0</v>
      </c>
      <c r="L21" s="3">
        <v>0</v>
      </c>
      <c r="M21" s="3">
        <v>5.2277777777777779</v>
      </c>
      <c r="N21" s="3">
        <v>0</v>
      </c>
      <c r="O21" s="3">
        <f>SUM(Table2[[#This Row],[Qualified Social Work Staff Hours]:[Other Social Work Staff Hours]])/Table2[[#This Row],[MDS Census]]</f>
        <v>0.25598476605005444</v>
      </c>
      <c r="P21" s="3">
        <v>4.8638888888888889</v>
      </c>
      <c r="Q21" s="3">
        <v>0</v>
      </c>
      <c r="R21" s="3">
        <f>SUM(Table2[[#This Row],[Qualified Activities Professional Hours]:[Other Activities Professional Hours]])/Table2[[#This Row],[MDS Census]]</f>
        <v>0.23816648531011972</v>
      </c>
      <c r="S21" s="3">
        <v>0</v>
      </c>
      <c r="T21" s="3">
        <v>0</v>
      </c>
      <c r="U21" s="3">
        <v>0</v>
      </c>
      <c r="V21" s="3">
        <f>SUM(Table2[[#This Row],[Occupational Therapist Hours]:[OT Aide Hours]])/Table2[[#This Row],[MDS Census]]</f>
        <v>0</v>
      </c>
      <c r="W21" s="3">
        <v>0</v>
      </c>
      <c r="X21" s="3">
        <v>0</v>
      </c>
      <c r="Y21" s="3">
        <v>0</v>
      </c>
      <c r="Z21" s="3">
        <f>SUM(Table2[[#This Row],[Physical Therapist (PT) Hours]:[PT Aide Hours]])/Table2[[#This Row],[MDS Census]]</f>
        <v>0</v>
      </c>
      <c r="AA21" s="3">
        <v>0</v>
      </c>
      <c r="AB21" s="3">
        <v>0</v>
      </c>
      <c r="AC21" s="3">
        <v>0</v>
      </c>
      <c r="AD21" s="3">
        <v>0</v>
      </c>
      <c r="AE21" s="3">
        <v>0</v>
      </c>
      <c r="AF21" s="3">
        <v>0</v>
      </c>
      <c r="AG21" s="3">
        <v>0</v>
      </c>
      <c r="AH21" s="1" t="s">
        <v>19</v>
      </c>
      <c r="AI21" s="17">
        <v>10</v>
      </c>
      <c r="AJ21" s="1"/>
    </row>
    <row r="22" spans="1:36" x14ac:dyDescent="0.2">
      <c r="A22" s="1" t="s">
        <v>128</v>
      </c>
      <c r="B22" s="1" t="s">
        <v>149</v>
      </c>
      <c r="C22" s="1" t="s">
        <v>272</v>
      </c>
      <c r="D22" s="1" t="s">
        <v>322</v>
      </c>
      <c r="E22" s="3">
        <v>44.966666666666669</v>
      </c>
      <c r="F22" s="3">
        <v>28.111666666666665</v>
      </c>
      <c r="G22" s="3">
        <v>0</v>
      </c>
      <c r="H22" s="3">
        <v>0.29622222222222211</v>
      </c>
      <c r="I22" s="3">
        <v>1.0833333333333333</v>
      </c>
      <c r="J22" s="3">
        <v>0</v>
      </c>
      <c r="K22" s="3">
        <v>0</v>
      </c>
      <c r="L22" s="3">
        <v>3.9127777777777761</v>
      </c>
      <c r="M22" s="3">
        <v>5.1976666666666667</v>
      </c>
      <c r="N22" s="3">
        <v>0</v>
      </c>
      <c r="O22" s="3">
        <f>SUM(Table2[[#This Row],[Qualified Social Work Staff Hours]:[Other Social Work Staff Hours]])/Table2[[#This Row],[MDS Census]]</f>
        <v>0.11558932542624166</v>
      </c>
      <c r="P22" s="3">
        <v>4.9749999999999996</v>
      </c>
      <c r="Q22" s="3">
        <v>0.35255555555555551</v>
      </c>
      <c r="R22" s="3">
        <f>SUM(Table2[[#This Row],[Qualified Activities Professional Hours]:[Other Activities Professional Hours]])/Table2[[#This Row],[MDS Census]]</f>
        <v>0.11847788485297751</v>
      </c>
      <c r="S22" s="3">
        <v>5.1878888888888888</v>
      </c>
      <c r="T22" s="3">
        <v>5.3277777777777793</v>
      </c>
      <c r="U22" s="3">
        <v>0</v>
      </c>
      <c r="V22" s="3">
        <f>SUM(Table2[[#This Row],[Occupational Therapist Hours]:[OT Aide Hours]])/Table2[[#This Row],[MDS Census]]</f>
        <v>0.23385470719051152</v>
      </c>
      <c r="W22" s="3">
        <v>6.4947777777777791</v>
      </c>
      <c r="X22" s="3">
        <v>9.4662222222222248</v>
      </c>
      <c r="Y22" s="3">
        <v>0</v>
      </c>
      <c r="Z22" s="3">
        <f>SUM(Table2[[#This Row],[Physical Therapist (PT) Hours]:[PT Aide Hours]])/Table2[[#This Row],[MDS Census]]</f>
        <v>0.35495181616011867</v>
      </c>
      <c r="AA22" s="3">
        <v>0</v>
      </c>
      <c r="AB22" s="3">
        <v>0</v>
      </c>
      <c r="AC22" s="3">
        <v>0</v>
      </c>
      <c r="AD22" s="3">
        <v>0</v>
      </c>
      <c r="AE22" s="3">
        <v>0</v>
      </c>
      <c r="AF22" s="3">
        <v>0</v>
      </c>
      <c r="AG22" s="3">
        <v>0</v>
      </c>
      <c r="AH22" s="1" t="s">
        <v>20</v>
      </c>
      <c r="AI22" s="17">
        <v>10</v>
      </c>
      <c r="AJ22" s="1"/>
    </row>
    <row r="23" spans="1:36" x14ac:dyDescent="0.2">
      <c r="A23" s="1" t="s">
        <v>128</v>
      </c>
      <c r="B23" s="1" t="s">
        <v>150</v>
      </c>
      <c r="C23" s="1" t="s">
        <v>281</v>
      </c>
      <c r="D23" s="1" t="s">
        <v>335</v>
      </c>
      <c r="E23" s="3">
        <v>54.833333333333336</v>
      </c>
      <c r="F23" s="3">
        <v>45.667222222222215</v>
      </c>
      <c r="G23" s="3">
        <v>0.48333333333333334</v>
      </c>
      <c r="H23" s="3">
        <v>0.21388888888888888</v>
      </c>
      <c r="I23" s="3">
        <v>0.23333333333333334</v>
      </c>
      <c r="J23" s="3">
        <v>0</v>
      </c>
      <c r="K23" s="3">
        <v>0</v>
      </c>
      <c r="L23" s="3">
        <v>3.4248888888888898</v>
      </c>
      <c r="M23" s="3">
        <v>4.2704444444444434</v>
      </c>
      <c r="N23" s="3">
        <v>5.9396666666666675</v>
      </c>
      <c r="O23" s="3">
        <f>SUM(Table2[[#This Row],[Qualified Social Work Staff Hours]:[Other Social Work Staff Hours]])/Table2[[#This Row],[MDS Census]]</f>
        <v>0.18620263424518743</v>
      </c>
      <c r="P23" s="3">
        <v>5.0630000000000006</v>
      </c>
      <c r="Q23" s="3">
        <v>8.9814444444444437</v>
      </c>
      <c r="R23" s="3">
        <f>SUM(Table2[[#This Row],[Qualified Activities Professional Hours]:[Other Activities Professional Hours]])/Table2[[#This Row],[MDS Census]]</f>
        <v>0.25612968591691992</v>
      </c>
      <c r="S23" s="3">
        <v>9.4743333333333375</v>
      </c>
      <c r="T23" s="3">
        <v>3.1E-2</v>
      </c>
      <c r="U23" s="3">
        <v>0</v>
      </c>
      <c r="V23" s="3">
        <f>SUM(Table2[[#This Row],[Occupational Therapist Hours]:[OT Aide Hours]])/Table2[[#This Row],[MDS Census]]</f>
        <v>0.17334954407294842</v>
      </c>
      <c r="W23" s="3">
        <v>4.8841111111111113</v>
      </c>
      <c r="X23" s="3">
        <v>4.2549999999999972</v>
      </c>
      <c r="Y23" s="3">
        <v>0</v>
      </c>
      <c r="Z23" s="3">
        <f>SUM(Table2[[#This Row],[Physical Therapist (PT) Hours]:[PT Aide Hours]])/Table2[[#This Row],[MDS Census]]</f>
        <v>0.16667071935157038</v>
      </c>
      <c r="AA23" s="3">
        <v>0</v>
      </c>
      <c r="AB23" s="3">
        <v>0</v>
      </c>
      <c r="AC23" s="3">
        <v>0</v>
      </c>
      <c r="AD23" s="3">
        <v>0</v>
      </c>
      <c r="AE23" s="3">
        <v>0</v>
      </c>
      <c r="AF23" s="3">
        <v>0</v>
      </c>
      <c r="AG23" s="3">
        <v>0</v>
      </c>
      <c r="AH23" s="1" t="s">
        <v>21</v>
      </c>
      <c r="AI23" s="17">
        <v>10</v>
      </c>
      <c r="AJ23" s="1"/>
    </row>
    <row r="24" spans="1:36" x14ac:dyDescent="0.2">
      <c r="A24" s="1" t="s">
        <v>128</v>
      </c>
      <c r="B24" s="1" t="s">
        <v>151</v>
      </c>
      <c r="C24" s="1" t="s">
        <v>263</v>
      </c>
      <c r="D24" s="1" t="s">
        <v>334</v>
      </c>
      <c r="E24" s="3">
        <v>66.222222222222229</v>
      </c>
      <c r="F24" s="3">
        <v>8.2345555555555485</v>
      </c>
      <c r="G24" s="3">
        <v>0.28888888888888886</v>
      </c>
      <c r="H24" s="3">
        <v>0.38333333333333336</v>
      </c>
      <c r="I24" s="3">
        <v>1.2250000000000001</v>
      </c>
      <c r="J24" s="3">
        <v>0</v>
      </c>
      <c r="K24" s="3">
        <v>0</v>
      </c>
      <c r="L24" s="3">
        <v>0.54077777777777791</v>
      </c>
      <c r="M24" s="3">
        <v>0</v>
      </c>
      <c r="N24" s="3">
        <v>10.65</v>
      </c>
      <c r="O24" s="3">
        <f>SUM(Table2[[#This Row],[Qualified Social Work Staff Hours]:[Other Social Work Staff Hours]])/Table2[[#This Row],[MDS Census]]</f>
        <v>0.16082214765100669</v>
      </c>
      <c r="P24" s="3">
        <v>0</v>
      </c>
      <c r="Q24" s="3">
        <v>5.3388888888888886</v>
      </c>
      <c r="R24" s="3">
        <f>SUM(Table2[[#This Row],[Qualified Activities Professional Hours]:[Other Activities Professional Hours]])/Table2[[#This Row],[MDS Census]]</f>
        <v>8.062080536912751E-2</v>
      </c>
      <c r="S24" s="3">
        <v>2.3287777777777774</v>
      </c>
      <c r="T24" s="3">
        <v>2.6365555555555553</v>
      </c>
      <c r="U24" s="3">
        <v>0</v>
      </c>
      <c r="V24" s="3">
        <f>SUM(Table2[[#This Row],[Occupational Therapist Hours]:[OT Aide Hours]])/Table2[[#This Row],[MDS Census]]</f>
        <v>7.4979865771812065E-2</v>
      </c>
      <c r="W24" s="3">
        <v>1.6937777777777778</v>
      </c>
      <c r="X24" s="3">
        <v>0.42455555555555546</v>
      </c>
      <c r="Y24" s="3">
        <v>0</v>
      </c>
      <c r="Z24" s="3">
        <f>SUM(Table2[[#This Row],[Physical Therapist (PT) Hours]:[PT Aide Hours]])/Table2[[#This Row],[MDS Census]]</f>
        <v>3.1988255033557039E-2</v>
      </c>
      <c r="AA24" s="3">
        <v>0</v>
      </c>
      <c r="AB24" s="3">
        <v>0</v>
      </c>
      <c r="AC24" s="3">
        <v>0</v>
      </c>
      <c r="AD24" s="3">
        <v>18.344444444444445</v>
      </c>
      <c r="AE24" s="3">
        <v>0</v>
      </c>
      <c r="AF24" s="3">
        <v>0</v>
      </c>
      <c r="AG24" s="3">
        <v>0</v>
      </c>
      <c r="AH24" s="1" t="s">
        <v>22</v>
      </c>
      <c r="AI24" s="17">
        <v>10</v>
      </c>
      <c r="AJ24" s="1"/>
    </row>
    <row r="25" spans="1:36" x14ac:dyDescent="0.2">
      <c r="A25" s="1" t="s">
        <v>128</v>
      </c>
      <c r="B25" s="1" t="s">
        <v>152</v>
      </c>
      <c r="C25" s="1" t="s">
        <v>286</v>
      </c>
      <c r="D25" s="1" t="s">
        <v>339</v>
      </c>
      <c r="E25" s="3">
        <v>53.288888888888891</v>
      </c>
      <c r="F25" s="3">
        <v>5.0666666666666664</v>
      </c>
      <c r="G25" s="3">
        <v>0.88888888888888884</v>
      </c>
      <c r="H25" s="3">
        <v>0</v>
      </c>
      <c r="I25" s="3">
        <v>1.6055555555555556</v>
      </c>
      <c r="J25" s="3">
        <v>0</v>
      </c>
      <c r="K25" s="3">
        <v>1.9555555555555555</v>
      </c>
      <c r="L25" s="3">
        <v>2.4761111111111105</v>
      </c>
      <c r="M25" s="3">
        <v>11.111111111111111</v>
      </c>
      <c r="N25" s="3">
        <v>0</v>
      </c>
      <c r="O25" s="3">
        <f>SUM(Table2[[#This Row],[Qualified Social Work Staff Hours]:[Other Social Work Staff Hours]])/Table2[[#This Row],[MDS Census]]</f>
        <v>0.20850708924103417</v>
      </c>
      <c r="P25" s="3">
        <v>4.0916666666666668</v>
      </c>
      <c r="Q25" s="3">
        <v>0</v>
      </c>
      <c r="R25" s="3">
        <f>SUM(Table2[[#This Row],[Qualified Activities Professional Hours]:[Other Activities Professional Hours]])/Table2[[#This Row],[MDS Census]]</f>
        <v>7.6782735613010841E-2</v>
      </c>
      <c r="S25" s="3">
        <v>5.3423333333333325</v>
      </c>
      <c r="T25" s="3">
        <v>3.3930000000000002</v>
      </c>
      <c r="U25" s="3">
        <v>0</v>
      </c>
      <c r="V25" s="3">
        <f>SUM(Table2[[#This Row],[Occupational Therapist Hours]:[OT Aide Hours]])/Table2[[#This Row],[MDS Census]]</f>
        <v>0.16392410341951624</v>
      </c>
      <c r="W25" s="3">
        <v>3.9873333333333334</v>
      </c>
      <c r="X25" s="3">
        <v>3.185222222222222</v>
      </c>
      <c r="Y25" s="3">
        <v>0</v>
      </c>
      <c r="Z25" s="3">
        <f>SUM(Table2[[#This Row],[Physical Therapist (PT) Hours]:[PT Aide Hours]])/Table2[[#This Row],[MDS Census]]</f>
        <v>0.13459758131776478</v>
      </c>
      <c r="AA25" s="3">
        <v>0</v>
      </c>
      <c r="AB25" s="3">
        <v>0</v>
      </c>
      <c r="AC25" s="3">
        <v>0</v>
      </c>
      <c r="AD25" s="3">
        <v>0</v>
      </c>
      <c r="AE25" s="3">
        <v>0</v>
      </c>
      <c r="AF25" s="3">
        <v>0</v>
      </c>
      <c r="AG25" s="3">
        <v>0</v>
      </c>
      <c r="AH25" s="1" t="s">
        <v>23</v>
      </c>
      <c r="AI25" s="17">
        <v>10</v>
      </c>
      <c r="AJ25" s="1"/>
    </row>
    <row r="26" spans="1:36" x14ac:dyDescent="0.2">
      <c r="A26" s="1" t="s">
        <v>128</v>
      </c>
      <c r="B26" s="1" t="s">
        <v>153</v>
      </c>
      <c r="C26" s="1" t="s">
        <v>273</v>
      </c>
      <c r="D26" s="1" t="s">
        <v>319</v>
      </c>
      <c r="E26" s="3">
        <v>80.466666666666669</v>
      </c>
      <c r="F26" s="3">
        <v>5.7777777777777777</v>
      </c>
      <c r="G26" s="3">
        <v>0.58888888888888891</v>
      </c>
      <c r="H26" s="3">
        <v>0</v>
      </c>
      <c r="I26" s="3">
        <v>3.2222222222222223</v>
      </c>
      <c r="J26" s="3">
        <v>0</v>
      </c>
      <c r="K26" s="3">
        <v>4.0111111111111111</v>
      </c>
      <c r="L26" s="3">
        <v>10.912000000000003</v>
      </c>
      <c r="M26" s="3">
        <v>5.0666666666666664</v>
      </c>
      <c r="N26" s="3">
        <v>9.6444444444444439</v>
      </c>
      <c r="O26" s="3">
        <f>SUM(Table2[[#This Row],[Qualified Social Work Staff Hours]:[Other Social Work Staff Hours]])/Table2[[#This Row],[MDS Census]]</f>
        <v>0.18282242474454569</v>
      </c>
      <c r="P26" s="3">
        <v>4.7333333333333334</v>
      </c>
      <c r="Q26" s="3">
        <v>16.930555555555557</v>
      </c>
      <c r="R26" s="3">
        <f>SUM(Table2[[#This Row],[Qualified Activities Professional Hours]:[Other Activities Professional Hours]])/Table2[[#This Row],[MDS Census]]</f>
        <v>0.26922811378072359</v>
      </c>
      <c r="S26" s="3">
        <v>10.36233333333333</v>
      </c>
      <c r="T26" s="3">
        <v>14.022</v>
      </c>
      <c r="U26" s="3">
        <v>0</v>
      </c>
      <c r="V26" s="3">
        <f>SUM(Table2[[#This Row],[Occupational Therapist Hours]:[OT Aide Hours]])/Table2[[#This Row],[MDS Census]]</f>
        <v>0.30303645401822699</v>
      </c>
      <c r="W26" s="3">
        <v>14.47722222222222</v>
      </c>
      <c r="X26" s="3">
        <v>11.013777777777777</v>
      </c>
      <c r="Y26" s="3">
        <v>0</v>
      </c>
      <c r="Z26" s="3">
        <f>SUM(Table2[[#This Row],[Physical Therapist (PT) Hours]:[PT Aide Hours]])/Table2[[#This Row],[MDS Census]]</f>
        <v>0.31678956089478044</v>
      </c>
      <c r="AA26" s="3">
        <v>0.57777777777777772</v>
      </c>
      <c r="AB26" s="3">
        <v>0</v>
      </c>
      <c r="AC26" s="3">
        <v>0</v>
      </c>
      <c r="AD26" s="3">
        <v>0</v>
      </c>
      <c r="AE26" s="3">
        <v>0</v>
      </c>
      <c r="AF26" s="3">
        <v>0</v>
      </c>
      <c r="AG26" s="3">
        <v>0.8666666666666667</v>
      </c>
      <c r="AH26" s="1" t="s">
        <v>24</v>
      </c>
      <c r="AI26" s="17">
        <v>10</v>
      </c>
      <c r="AJ26" s="1"/>
    </row>
    <row r="27" spans="1:36" x14ac:dyDescent="0.2">
      <c r="A27" s="1" t="s">
        <v>128</v>
      </c>
      <c r="B27" s="1" t="s">
        <v>154</v>
      </c>
      <c r="C27" s="1" t="s">
        <v>287</v>
      </c>
      <c r="D27" s="1" t="s">
        <v>321</v>
      </c>
      <c r="E27" s="3">
        <v>67.088888888888889</v>
      </c>
      <c r="F27" s="3">
        <v>5.6444444444444448</v>
      </c>
      <c r="G27" s="3">
        <v>0.53333333333333333</v>
      </c>
      <c r="H27" s="3">
        <v>0</v>
      </c>
      <c r="I27" s="3">
        <v>2.1555555555555554</v>
      </c>
      <c r="J27" s="3">
        <v>1.2</v>
      </c>
      <c r="K27" s="3">
        <v>0</v>
      </c>
      <c r="L27" s="3">
        <v>3.5106666666666673</v>
      </c>
      <c r="M27" s="3">
        <v>0</v>
      </c>
      <c r="N27" s="3">
        <v>10.25</v>
      </c>
      <c r="O27" s="3">
        <f>SUM(Table2[[#This Row],[Qualified Social Work Staff Hours]:[Other Social Work Staff Hours]])/Table2[[#This Row],[MDS Census]]</f>
        <v>0.15278237827095065</v>
      </c>
      <c r="P27" s="3">
        <v>5.0972222222222223</v>
      </c>
      <c r="Q27" s="3">
        <v>0.41111111111111109</v>
      </c>
      <c r="R27" s="3">
        <f>SUM(Table2[[#This Row],[Qualified Activities Professional Hours]:[Other Activities Professional Hours]])/Table2[[#This Row],[MDS Census]]</f>
        <v>8.2105001656177554E-2</v>
      </c>
      <c r="S27" s="3">
        <v>9.6866666666666692</v>
      </c>
      <c r="T27" s="3">
        <v>2.1100000000000003</v>
      </c>
      <c r="U27" s="3">
        <v>0</v>
      </c>
      <c r="V27" s="3">
        <f>SUM(Table2[[#This Row],[Occupational Therapist Hours]:[OT Aide Hours]])/Table2[[#This Row],[MDS Census]]</f>
        <v>0.17583636965882748</v>
      </c>
      <c r="W27" s="3">
        <v>6.4132222222222239</v>
      </c>
      <c r="X27" s="3">
        <v>6.921333333333334</v>
      </c>
      <c r="Y27" s="3">
        <v>0</v>
      </c>
      <c r="Z27" s="3">
        <f>SUM(Table2[[#This Row],[Physical Therapist (PT) Hours]:[PT Aide Hours]])/Table2[[#This Row],[MDS Census]]</f>
        <v>0.19875952302086786</v>
      </c>
      <c r="AA27" s="3">
        <v>0</v>
      </c>
      <c r="AB27" s="3">
        <v>0</v>
      </c>
      <c r="AC27" s="3">
        <v>0</v>
      </c>
      <c r="AD27" s="3">
        <v>0</v>
      </c>
      <c r="AE27" s="3">
        <v>0</v>
      </c>
      <c r="AF27" s="3">
        <v>0</v>
      </c>
      <c r="AG27" s="3">
        <v>0</v>
      </c>
      <c r="AH27" s="1" t="s">
        <v>25</v>
      </c>
      <c r="AI27" s="17">
        <v>10</v>
      </c>
      <c r="AJ27" s="1"/>
    </row>
    <row r="28" spans="1:36" x14ac:dyDescent="0.2">
      <c r="A28" s="1" t="s">
        <v>128</v>
      </c>
      <c r="B28" s="1" t="s">
        <v>155</v>
      </c>
      <c r="C28" s="1" t="s">
        <v>279</v>
      </c>
      <c r="D28" s="1" t="s">
        <v>334</v>
      </c>
      <c r="E28" s="3">
        <v>55.68888888888889</v>
      </c>
      <c r="F28" s="3">
        <v>4.4444444444444446</v>
      </c>
      <c r="G28" s="3">
        <v>1.6555555555555554</v>
      </c>
      <c r="H28" s="3">
        <v>0.90300000000000014</v>
      </c>
      <c r="I28" s="3">
        <v>4.1444444444444448</v>
      </c>
      <c r="J28" s="3">
        <v>0</v>
      </c>
      <c r="K28" s="3">
        <v>0</v>
      </c>
      <c r="L28" s="3">
        <v>3.665888888888889</v>
      </c>
      <c r="M28" s="3">
        <v>5.3733333333333331</v>
      </c>
      <c r="N28" s="3">
        <v>0</v>
      </c>
      <c r="O28" s="3">
        <f>SUM(Table2[[#This Row],[Qualified Social Work Staff Hours]:[Other Social Work Staff Hours]])/Table2[[#This Row],[MDS Census]]</f>
        <v>9.6488427773343974E-2</v>
      </c>
      <c r="P28" s="3">
        <v>0</v>
      </c>
      <c r="Q28" s="3">
        <v>0.69666666666666666</v>
      </c>
      <c r="R28" s="3">
        <f>SUM(Table2[[#This Row],[Qualified Activities Professional Hours]:[Other Activities Professional Hours]])/Table2[[#This Row],[MDS Census]]</f>
        <v>1.250997605746209E-2</v>
      </c>
      <c r="S28" s="3">
        <v>7.4548888888888909</v>
      </c>
      <c r="T28" s="3">
        <v>0</v>
      </c>
      <c r="U28" s="3">
        <v>0</v>
      </c>
      <c r="V28" s="3">
        <f>SUM(Table2[[#This Row],[Occupational Therapist Hours]:[OT Aide Hours]])/Table2[[#This Row],[MDS Census]]</f>
        <v>0.1338667198723065</v>
      </c>
      <c r="W28" s="3">
        <v>5.5948888888888879</v>
      </c>
      <c r="X28" s="3">
        <v>4.7898888888888891</v>
      </c>
      <c r="Y28" s="3">
        <v>0</v>
      </c>
      <c r="Z28" s="3">
        <f>SUM(Table2[[#This Row],[Physical Therapist (PT) Hours]:[PT Aide Hours]])/Table2[[#This Row],[MDS Census]]</f>
        <v>0.18647845171588187</v>
      </c>
      <c r="AA28" s="3">
        <v>0</v>
      </c>
      <c r="AB28" s="3">
        <v>0</v>
      </c>
      <c r="AC28" s="3">
        <v>0</v>
      </c>
      <c r="AD28" s="3">
        <v>0</v>
      </c>
      <c r="AE28" s="3">
        <v>0</v>
      </c>
      <c r="AF28" s="3">
        <v>0</v>
      </c>
      <c r="AG28" s="3">
        <v>0</v>
      </c>
      <c r="AH28" s="1" t="s">
        <v>26</v>
      </c>
      <c r="AI28" s="17">
        <v>10</v>
      </c>
      <c r="AJ28" s="1"/>
    </row>
    <row r="29" spans="1:36" x14ac:dyDescent="0.2">
      <c r="A29" s="1" t="s">
        <v>128</v>
      </c>
      <c r="B29" s="1" t="s">
        <v>156</v>
      </c>
      <c r="C29" s="1" t="s">
        <v>263</v>
      </c>
      <c r="D29" s="1" t="s">
        <v>334</v>
      </c>
      <c r="E29" s="3">
        <v>60.211111111111109</v>
      </c>
      <c r="F29" s="3">
        <v>5.3611111111111107</v>
      </c>
      <c r="G29" s="3">
        <v>0.41333333333333327</v>
      </c>
      <c r="H29" s="3">
        <v>0</v>
      </c>
      <c r="I29" s="3">
        <v>1.1388888888888888</v>
      </c>
      <c r="J29" s="3">
        <v>0</v>
      </c>
      <c r="K29" s="3">
        <v>0.22500000000000001</v>
      </c>
      <c r="L29" s="3">
        <v>7.1798888888888923</v>
      </c>
      <c r="M29" s="3">
        <v>7.3548888888888895</v>
      </c>
      <c r="N29" s="3">
        <v>0</v>
      </c>
      <c r="O29" s="3">
        <f>SUM(Table2[[#This Row],[Qualified Social Work Staff Hours]:[Other Social Work Staff Hours]])/Table2[[#This Row],[MDS Census]]</f>
        <v>0.12215168850341393</v>
      </c>
      <c r="P29" s="3">
        <v>5.1530000000000005</v>
      </c>
      <c r="Q29" s="3">
        <v>1.9846666666666668</v>
      </c>
      <c r="R29" s="3">
        <f>SUM(Table2[[#This Row],[Qualified Activities Professional Hours]:[Other Activities Professional Hours]])/Table2[[#This Row],[MDS Census]]</f>
        <v>0.11854401181029711</v>
      </c>
      <c r="S29" s="3">
        <v>4.2454444444444439</v>
      </c>
      <c r="T29" s="3">
        <v>0.1062222222222222</v>
      </c>
      <c r="U29" s="3">
        <v>0</v>
      </c>
      <c r="V29" s="3">
        <f>SUM(Table2[[#This Row],[Occupational Therapist Hours]:[OT Aide Hours]])/Table2[[#This Row],[MDS Census]]</f>
        <v>7.2273482192286381E-2</v>
      </c>
      <c r="W29" s="3">
        <v>2.8317777777777779</v>
      </c>
      <c r="X29" s="3">
        <v>4.4395555555555539</v>
      </c>
      <c r="Y29" s="3">
        <v>0</v>
      </c>
      <c r="Z29" s="3">
        <f>SUM(Table2[[#This Row],[Physical Therapist (PT) Hours]:[PT Aide Hours]])/Table2[[#This Row],[MDS Census]]</f>
        <v>0.12076397859383649</v>
      </c>
      <c r="AA29" s="3">
        <v>0</v>
      </c>
      <c r="AB29" s="3">
        <v>0</v>
      </c>
      <c r="AC29" s="3">
        <v>0</v>
      </c>
      <c r="AD29" s="3">
        <v>0</v>
      </c>
      <c r="AE29" s="3">
        <v>0</v>
      </c>
      <c r="AF29" s="3">
        <v>0</v>
      </c>
      <c r="AG29" s="3">
        <v>0</v>
      </c>
      <c r="AH29" s="1" t="s">
        <v>27</v>
      </c>
      <c r="AI29" s="17">
        <v>10</v>
      </c>
      <c r="AJ29" s="1"/>
    </row>
    <row r="30" spans="1:36" x14ac:dyDescent="0.2">
      <c r="A30" s="1" t="s">
        <v>128</v>
      </c>
      <c r="B30" s="1" t="s">
        <v>157</v>
      </c>
      <c r="C30" s="1" t="s">
        <v>288</v>
      </c>
      <c r="D30" s="1" t="s">
        <v>340</v>
      </c>
      <c r="E30" s="3">
        <v>67.666666666666671</v>
      </c>
      <c r="F30" s="3">
        <v>5.6</v>
      </c>
      <c r="G30" s="3">
        <v>0.58333333333333337</v>
      </c>
      <c r="H30" s="3">
        <v>0.34166666666666667</v>
      </c>
      <c r="I30" s="3">
        <v>0</v>
      </c>
      <c r="J30" s="3">
        <v>0</v>
      </c>
      <c r="K30" s="3">
        <v>0</v>
      </c>
      <c r="L30" s="3">
        <v>5.2299999999999986</v>
      </c>
      <c r="M30" s="3">
        <v>9.8694444444444436</v>
      </c>
      <c r="N30" s="3">
        <v>0</v>
      </c>
      <c r="O30" s="3">
        <f>SUM(Table2[[#This Row],[Qualified Social Work Staff Hours]:[Other Social Work Staff Hours]])/Table2[[#This Row],[MDS Census]]</f>
        <v>0.14585385878489324</v>
      </c>
      <c r="P30" s="3">
        <v>0</v>
      </c>
      <c r="Q30" s="3">
        <v>13.577777777777778</v>
      </c>
      <c r="R30" s="3">
        <f>SUM(Table2[[#This Row],[Qualified Activities Professional Hours]:[Other Activities Professional Hours]])/Table2[[#This Row],[MDS Census]]</f>
        <v>0.20065681444991787</v>
      </c>
      <c r="S30" s="3">
        <v>4.2846666666666664</v>
      </c>
      <c r="T30" s="3">
        <v>7.3362222222222231</v>
      </c>
      <c r="U30" s="3">
        <v>0</v>
      </c>
      <c r="V30" s="3">
        <f>SUM(Table2[[#This Row],[Occupational Therapist Hours]:[OT Aide Hours]])/Table2[[#This Row],[MDS Census]]</f>
        <v>0.17173727422003282</v>
      </c>
      <c r="W30" s="3">
        <v>7.1179999999999986</v>
      </c>
      <c r="X30" s="3">
        <v>8.4526666666666674</v>
      </c>
      <c r="Y30" s="3">
        <v>0</v>
      </c>
      <c r="Z30" s="3">
        <f>SUM(Table2[[#This Row],[Physical Therapist (PT) Hours]:[PT Aide Hours]])/Table2[[#This Row],[MDS Census]]</f>
        <v>0.23010837438423642</v>
      </c>
      <c r="AA30" s="3">
        <v>0</v>
      </c>
      <c r="AB30" s="3">
        <v>0</v>
      </c>
      <c r="AC30" s="3">
        <v>0</v>
      </c>
      <c r="AD30" s="3">
        <v>0</v>
      </c>
      <c r="AE30" s="3">
        <v>0</v>
      </c>
      <c r="AF30" s="3">
        <v>0</v>
      </c>
      <c r="AG30" s="3">
        <v>0</v>
      </c>
      <c r="AH30" s="1" t="s">
        <v>28</v>
      </c>
      <c r="AI30" s="17">
        <v>10</v>
      </c>
      <c r="AJ30" s="1"/>
    </row>
    <row r="31" spans="1:36" x14ac:dyDescent="0.2">
      <c r="A31" s="1" t="s">
        <v>128</v>
      </c>
      <c r="B31" s="1" t="s">
        <v>158</v>
      </c>
      <c r="C31" s="1" t="s">
        <v>289</v>
      </c>
      <c r="D31" s="1" t="s">
        <v>341</v>
      </c>
      <c r="E31" s="3">
        <v>29.911111111111111</v>
      </c>
      <c r="F31" s="3">
        <v>5.5115555555555549</v>
      </c>
      <c r="G31" s="3">
        <v>0.39166666666666666</v>
      </c>
      <c r="H31" s="3">
        <v>0.22222222222222221</v>
      </c>
      <c r="I31" s="3">
        <v>0.75555555555555554</v>
      </c>
      <c r="J31" s="3">
        <v>0</v>
      </c>
      <c r="K31" s="3">
        <v>0</v>
      </c>
      <c r="L31" s="3">
        <v>1.4372222222222228</v>
      </c>
      <c r="M31" s="3">
        <v>5.4190000000000014</v>
      </c>
      <c r="N31" s="3">
        <v>4.310888888888889</v>
      </c>
      <c r="O31" s="3">
        <f>SUM(Table2[[#This Row],[Qualified Social Work Staff Hours]:[Other Social Work Staff Hours]])/Table2[[#This Row],[MDS Census]]</f>
        <v>0.32529346210995547</v>
      </c>
      <c r="P31" s="3">
        <v>3.2610000000000006</v>
      </c>
      <c r="Q31" s="3">
        <v>8.4743333333333357</v>
      </c>
      <c r="R31" s="3">
        <f>SUM(Table2[[#This Row],[Qualified Activities Professional Hours]:[Other Activities Professional Hours]])/Table2[[#This Row],[MDS Census]]</f>
        <v>0.3923402674591383</v>
      </c>
      <c r="S31" s="3">
        <v>4.6548888888888875</v>
      </c>
      <c r="T31" s="3">
        <v>3.7578888888888886</v>
      </c>
      <c r="U31" s="3">
        <v>0</v>
      </c>
      <c r="V31" s="3">
        <f>SUM(Table2[[#This Row],[Occupational Therapist Hours]:[OT Aide Hours]])/Table2[[#This Row],[MDS Census]]</f>
        <v>0.28125928677563145</v>
      </c>
      <c r="W31" s="3">
        <v>5.4725555555555552</v>
      </c>
      <c r="X31" s="3">
        <v>6.2705555555555561</v>
      </c>
      <c r="Y31" s="3">
        <v>0</v>
      </c>
      <c r="Z31" s="3">
        <f>SUM(Table2[[#This Row],[Physical Therapist (PT) Hours]:[PT Aide Hours]])/Table2[[#This Row],[MDS Census]]</f>
        <v>0.39260029717682021</v>
      </c>
      <c r="AA31" s="3">
        <v>0</v>
      </c>
      <c r="AB31" s="3">
        <v>0</v>
      </c>
      <c r="AC31" s="3">
        <v>0</v>
      </c>
      <c r="AD31" s="3">
        <v>0</v>
      </c>
      <c r="AE31" s="3">
        <v>0</v>
      </c>
      <c r="AF31" s="3">
        <v>0</v>
      </c>
      <c r="AG31" s="3">
        <v>0</v>
      </c>
      <c r="AH31" s="1" t="s">
        <v>29</v>
      </c>
      <c r="AI31" s="17">
        <v>10</v>
      </c>
      <c r="AJ31" s="1"/>
    </row>
    <row r="32" spans="1:36" x14ac:dyDescent="0.2">
      <c r="A32" s="1" t="s">
        <v>128</v>
      </c>
      <c r="B32" s="1" t="s">
        <v>159</v>
      </c>
      <c r="C32" s="1" t="s">
        <v>263</v>
      </c>
      <c r="D32" s="1" t="s">
        <v>334</v>
      </c>
      <c r="E32" s="3">
        <v>82.888888888888886</v>
      </c>
      <c r="F32" s="3">
        <v>11.327777777777778</v>
      </c>
      <c r="G32" s="3">
        <v>1.1555555555555554</v>
      </c>
      <c r="H32" s="3">
        <v>0.58333333333333337</v>
      </c>
      <c r="I32" s="3">
        <v>4.2305555555555552</v>
      </c>
      <c r="J32" s="3">
        <v>3.2888888888888888</v>
      </c>
      <c r="K32" s="3">
        <v>0</v>
      </c>
      <c r="L32" s="3">
        <v>4.3761111111111104</v>
      </c>
      <c r="M32" s="3">
        <v>14.297222222222222</v>
      </c>
      <c r="N32" s="3">
        <v>0</v>
      </c>
      <c r="O32" s="3">
        <f>SUM(Table2[[#This Row],[Qualified Social Work Staff Hours]:[Other Social Work Staff Hours]])/Table2[[#This Row],[MDS Census]]</f>
        <v>0.17248659517426274</v>
      </c>
      <c r="P32" s="3">
        <v>5.2361111111111107</v>
      </c>
      <c r="Q32" s="3">
        <v>19.255555555555556</v>
      </c>
      <c r="R32" s="3">
        <f>SUM(Table2[[#This Row],[Qualified Activities Professional Hours]:[Other Activities Professional Hours]])/Table2[[#This Row],[MDS Census]]</f>
        <v>0.29547587131367292</v>
      </c>
      <c r="S32" s="3">
        <v>15.779222222222224</v>
      </c>
      <c r="T32" s="3">
        <v>8.6042222222222229</v>
      </c>
      <c r="U32" s="3">
        <v>0</v>
      </c>
      <c r="V32" s="3">
        <f>SUM(Table2[[#This Row],[Occupational Therapist Hours]:[OT Aide Hours]])/Table2[[#This Row],[MDS Census]]</f>
        <v>0.29417024128686331</v>
      </c>
      <c r="W32" s="3">
        <v>16.492555555555558</v>
      </c>
      <c r="X32" s="3">
        <v>10.113000000000001</v>
      </c>
      <c r="Y32" s="3">
        <v>0</v>
      </c>
      <c r="Z32" s="3">
        <f>SUM(Table2[[#This Row],[Physical Therapist (PT) Hours]:[PT Aide Hours]])/Table2[[#This Row],[MDS Census]]</f>
        <v>0.32097855227882044</v>
      </c>
      <c r="AA32" s="3">
        <v>0</v>
      </c>
      <c r="AB32" s="3">
        <v>0</v>
      </c>
      <c r="AC32" s="3">
        <v>0</v>
      </c>
      <c r="AD32" s="3">
        <v>0</v>
      </c>
      <c r="AE32" s="3">
        <v>0</v>
      </c>
      <c r="AF32" s="3">
        <v>0</v>
      </c>
      <c r="AG32" s="3">
        <v>0</v>
      </c>
      <c r="AH32" s="1" t="s">
        <v>30</v>
      </c>
      <c r="AI32" s="17">
        <v>10</v>
      </c>
      <c r="AJ32" s="1"/>
    </row>
    <row r="33" spans="1:36" x14ac:dyDescent="0.2">
      <c r="A33" s="1" t="s">
        <v>128</v>
      </c>
      <c r="B33" s="1" t="s">
        <v>160</v>
      </c>
      <c r="C33" s="1" t="s">
        <v>257</v>
      </c>
      <c r="D33" s="1" t="s">
        <v>335</v>
      </c>
      <c r="E33" s="3">
        <v>42.522222222222226</v>
      </c>
      <c r="F33" s="3">
        <v>5.2011111111111132</v>
      </c>
      <c r="G33" s="3">
        <v>1.5833333333333333</v>
      </c>
      <c r="H33" s="3">
        <v>0.20555555555555555</v>
      </c>
      <c r="I33" s="3">
        <v>0.59722222222222221</v>
      </c>
      <c r="J33" s="3">
        <v>0</v>
      </c>
      <c r="K33" s="3">
        <v>0</v>
      </c>
      <c r="L33" s="3">
        <v>0.91855555555555557</v>
      </c>
      <c r="M33" s="3">
        <v>4.6486666666666663</v>
      </c>
      <c r="N33" s="3">
        <v>0</v>
      </c>
      <c r="O33" s="3">
        <f>SUM(Table2[[#This Row],[Qualified Social Work Staff Hours]:[Other Social Work Staff Hours]])/Table2[[#This Row],[MDS Census]]</f>
        <v>0.10932322968382543</v>
      </c>
      <c r="P33" s="3">
        <v>4.6997777777777765</v>
      </c>
      <c r="Q33" s="3">
        <v>1.7837777777777777</v>
      </c>
      <c r="R33" s="3">
        <f>SUM(Table2[[#This Row],[Qualified Activities Professional Hours]:[Other Activities Professional Hours]])/Table2[[#This Row],[MDS Census]]</f>
        <v>0.15247452312516327</v>
      </c>
      <c r="S33" s="3">
        <v>4.1122222222222229</v>
      </c>
      <c r="T33" s="3">
        <v>0</v>
      </c>
      <c r="U33" s="3">
        <v>0</v>
      </c>
      <c r="V33" s="3">
        <f>SUM(Table2[[#This Row],[Occupational Therapist Hours]:[OT Aide Hours]])/Table2[[#This Row],[MDS Census]]</f>
        <v>9.6707603867258962E-2</v>
      </c>
      <c r="W33" s="3">
        <v>3.2424444444444451</v>
      </c>
      <c r="X33" s="3">
        <v>4.1150000000000002</v>
      </c>
      <c r="Y33" s="3">
        <v>0</v>
      </c>
      <c r="Z33" s="3">
        <f>SUM(Table2[[#This Row],[Physical Therapist (PT) Hours]:[PT Aide Hours]])/Table2[[#This Row],[MDS Census]]</f>
        <v>0.17302586882675725</v>
      </c>
      <c r="AA33" s="3">
        <v>0</v>
      </c>
      <c r="AB33" s="3">
        <v>0</v>
      </c>
      <c r="AC33" s="3">
        <v>0</v>
      </c>
      <c r="AD33" s="3">
        <v>0</v>
      </c>
      <c r="AE33" s="3">
        <v>0</v>
      </c>
      <c r="AF33" s="3">
        <v>0</v>
      </c>
      <c r="AG33" s="3">
        <v>0</v>
      </c>
      <c r="AH33" s="1" t="s">
        <v>31</v>
      </c>
      <c r="AI33" s="17">
        <v>10</v>
      </c>
      <c r="AJ33" s="1"/>
    </row>
    <row r="34" spans="1:36" x14ac:dyDescent="0.2">
      <c r="A34" s="1" t="s">
        <v>128</v>
      </c>
      <c r="B34" s="1" t="s">
        <v>161</v>
      </c>
      <c r="C34" s="1" t="s">
        <v>290</v>
      </c>
      <c r="D34" s="1" t="s">
        <v>330</v>
      </c>
      <c r="E34" s="3">
        <v>81.166666666666671</v>
      </c>
      <c r="F34" s="3">
        <v>33.466000000000001</v>
      </c>
      <c r="G34" s="3">
        <v>0</v>
      </c>
      <c r="H34" s="3">
        <v>0.55411111111111122</v>
      </c>
      <c r="I34" s="3">
        <v>1.4472222222222222</v>
      </c>
      <c r="J34" s="3">
        <v>0</v>
      </c>
      <c r="K34" s="3">
        <v>0</v>
      </c>
      <c r="L34" s="3">
        <v>4.6604444444444439</v>
      </c>
      <c r="M34" s="3">
        <v>11.195222222222222</v>
      </c>
      <c r="N34" s="3">
        <v>0</v>
      </c>
      <c r="O34" s="3">
        <f>SUM(Table2[[#This Row],[Qualified Social Work Staff Hours]:[Other Social Work Staff Hours]])/Table2[[#This Row],[MDS Census]]</f>
        <v>0.13792881587953457</v>
      </c>
      <c r="P34" s="3">
        <v>4.0888888888888886</v>
      </c>
      <c r="Q34" s="3">
        <v>1.8504444444444448</v>
      </c>
      <c r="R34" s="3">
        <f>SUM(Table2[[#This Row],[Qualified Activities Professional Hours]:[Other Activities Professional Hours]])/Table2[[#This Row],[MDS Census]]</f>
        <v>7.3174537987679672E-2</v>
      </c>
      <c r="S34" s="3">
        <v>6.7722222222222221</v>
      </c>
      <c r="T34" s="3">
        <v>8.2814444444444444</v>
      </c>
      <c r="U34" s="3">
        <v>0</v>
      </c>
      <c r="V34" s="3">
        <f>SUM(Table2[[#This Row],[Occupational Therapist Hours]:[OT Aide Hours]])/Table2[[#This Row],[MDS Census]]</f>
        <v>0.18546611909650923</v>
      </c>
      <c r="W34" s="3">
        <v>0</v>
      </c>
      <c r="X34" s="3">
        <v>13.80422222222222</v>
      </c>
      <c r="Y34" s="3">
        <v>0</v>
      </c>
      <c r="Z34" s="3">
        <f>SUM(Table2[[#This Row],[Physical Therapist (PT) Hours]:[PT Aide Hours]])/Table2[[#This Row],[MDS Census]]</f>
        <v>0.17007255304585897</v>
      </c>
      <c r="AA34" s="3">
        <v>0</v>
      </c>
      <c r="AB34" s="3">
        <v>0</v>
      </c>
      <c r="AC34" s="3">
        <v>0</v>
      </c>
      <c r="AD34" s="3">
        <v>0</v>
      </c>
      <c r="AE34" s="3">
        <v>0</v>
      </c>
      <c r="AF34" s="3">
        <v>0</v>
      </c>
      <c r="AG34" s="3">
        <v>0</v>
      </c>
      <c r="AH34" s="1" t="s">
        <v>32</v>
      </c>
      <c r="AI34" s="17">
        <v>10</v>
      </c>
      <c r="AJ34" s="1"/>
    </row>
    <row r="35" spans="1:36" x14ac:dyDescent="0.2">
      <c r="A35" s="1" t="s">
        <v>128</v>
      </c>
      <c r="B35" s="1" t="s">
        <v>162</v>
      </c>
      <c r="C35" s="1" t="s">
        <v>278</v>
      </c>
      <c r="D35" s="1" t="s">
        <v>342</v>
      </c>
      <c r="E35" s="3">
        <v>25.366666666666667</v>
      </c>
      <c r="F35" s="3">
        <v>11.846000000000004</v>
      </c>
      <c r="G35" s="3">
        <v>0.13333333333333333</v>
      </c>
      <c r="H35" s="3">
        <v>0</v>
      </c>
      <c r="I35" s="3">
        <v>0.43611111111111112</v>
      </c>
      <c r="J35" s="3">
        <v>0</v>
      </c>
      <c r="K35" s="3">
        <v>0</v>
      </c>
      <c r="L35" s="3">
        <v>0.24822222222222223</v>
      </c>
      <c r="M35" s="3">
        <v>0</v>
      </c>
      <c r="N35" s="3">
        <v>5.2113333333333314</v>
      </c>
      <c r="O35" s="3">
        <f>SUM(Table2[[#This Row],[Qualified Social Work Staff Hours]:[Other Social Work Staff Hours]])/Table2[[#This Row],[MDS Census]]</f>
        <v>0.20544021024967141</v>
      </c>
      <c r="P35" s="3">
        <v>6.1492222222222219</v>
      </c>
      <c r="Q35" s="3">
        <v>0.26088888888888889</v>
      </c>
      <c r="R35" s="3">
        <f>SUM(Table2[[#This Row],[Qualified Activities Professional Hours]:[Other Activities Professional Hours]])/Table2[[#This Row],[MDS Census]]</f>
        <v>0.25269820411738941</v>
      </c>
      <c r="S35" s="3">
        <v>3.4730000000000016</v>
      </c>
      <c r="T35" s="3">
        <v>0</v>
      </c>
      <c r="U35" s="3">
        <v>0</v>
      </c>
      <c r="V35" s="3">
        <f>SUM(Table2[[#This Row],[Occupational Therapist Hours]:[OT Aide Hours]])/Table2[[#This Row],[MDS Census]]</f>
        <v>0.13691195795006578</v>
      </c>
      <c r="W35" s="3">
        <v>4.3333333333333339</v>
      </c>
      <c r="X35" s="3">
        <v>3.9618888888888888</v>
      </c>
      <c r="Y35" s="3">
        <v>0</v>
      </c>
      <c r="Z35" s="3">
        <f>SUM(Table2[[#This Row],[Physical Therapist (PT) Hours]:[PT Aide Hours]])/Table2[[#This Row],[MDS Census]]</f>
        <v>0.32701270258431886</v>
      </c>
      <c r="AA35" s="3">
        <v>0</v>
      </c>
      <c r="AB35" s="3">
        <v>0</v>
      </c>
      <c r="AC35" s="3">
        <v>0</v>
      </c>
      <c r="AD35" s="3">
        <v>0</v>
      </c>
      <c r="AE35" s="3">
        <v>0</v>
      </c>
      <c r="AF35" s="3">
        <v>0</v>
      </c>
      <c r="AG35" s="3">
        <v>0</v>
      </c>
      <c r="AH35" s="1" t="s">
        <v>33</v>
      </c>
      <c r="AI35" s="17">
        <v>10</v>
      </c>
      <c r="AJ35" s="1"/>
    </row>
    <row r="36" spans="1:36" x14ac:dyDescent="0.2">
      <c r="A36" s="1" t="s">
        <v>128</v>
      </c>
      <c r="B36" s="1" t="s">
        <v>163</v>
      </c>
      <c r="C36" s="1" t="s">
        <v>263</v>
      </c>
      <c r="D36" s="1" t="s">
        <v>334</v>
      </c>
      <c r="E36" s="3">
        <v>76.922222222222217</v>
      </c>
      <c r="F36" s="3">
        <v>16.383333333333333</v>
      </c>
      <c r="G36" s="3">
        <v>1.6112222222222223</v>
      </c>
      <c r="H36" s="3">
        <v>0</v>
      </c>
      <c r="I36" s="3">
        <v>1.5694444444444444</v>
      </c>
      <c r="J36" s="3">
        <v>0</v>
      </c>
      <c r="K36" s="3">
        <v>0</v>
      </c>
      <c r="L36" s="3">
        <v>4.6132222222222241</v>
      </c>
      <c r="M36" s="3">
        <v>4.4444444444444446</v>
      </c>
      <c r="N36" s="3">
        <v>8.8957777777777807</v>
      </c>
      <c r="O36" s="3">
        <f>SUM(Table2[[#This Row],[Qualified Social Work Staff Hours]:[Other Social Work Staff Hours]])/Table2[[#This Row],[MDS Census]]</f>
        <v>0.17342481583128708</v>
      </c>
      <c r="P36" s="3">
        <v>0</v>
      </c>
      <c r="Q36" s="3">
        <v>14.216666666666667</v>
      </c>
      <c r="R36" s="3">
        <f>SUM(Table2[[#This Row],[Qualified Activities Professional Hours]:[Other Activities Professional Hours]])/Table2[[#This Row],[MDS Census]]</f>
        <v>0.18481872020800233</v>
      </c>
      <c r="S36" s="3">
        <v>5.5773333333333328</v>
      </c>
      <c r="T36" s="3">
        <v>4.6992222222222235</v>
      </c>
      <c r="U36" s="3">
        <v>0</v>
      </c>
      <c r="V36" s="3">
        <f>SUM(Table2[[#This Row],[Occupational Therapist Hours]:[OT Aide Hours]])/Table2[[#This Row],[MDS Census]]</f>
        <v>0.1335967066300737</v>
      </c>
      <c r="W36" s="3">
        <v>8.3260000000000041</v>
      </c>
      <c r="X36" s="3">
        <v>4.5833333333333339</v>
      </c>
      <c r="Y36" s="3">
        <v>0</v>
      </c>
      <c r="Z36" s="3">
        <f>SUM(Table2[[#This Row],[Physical Therapist (PT) Hours]:[PT Aide Hours]])/Table2[[#This Row],[MDS Census]]</f>
        <v>0.1678231980355338</v>
      </c>
      <c r="AA36" s="3">
        <v>0</v>
      </c>
      <c r="AB36" s="3">
        <v>0</v>
      </c>
      <c r="AC36" s="3">
        <v>0</v>
      </c>
      <c r="AD36" s="3">
        <v>33.105555555555554</v>
      </c>
      <c r="AE36" s="3">
        <v>0</v>
      </c>
      <c r="AF36" s="3">
        <v>0</v>
      </c>
      <c r="AG36" s="3">
        <v>0</v>
      </c>
      <c r="AH36" s="1" t="s">
        <v>34</v>
      </c>
      <c r="AI36" s="17">
        <v>10</v>
      </c>
      <c r="AJ36" s="1"/>
    </row>
    <row r="37" spans="1:36" x14ac:dyDescent="0.2">
      <c r="A37" s="1" t="s">
        <v>128</v>
      </c>
      <c r="B37" s="1" t="s">
        <v>164</v>
      </c>
      <c r="C37" s="1" t="s">
        <v>281</v>
      </c>
      <c r="D37" s="1" t="s">
        <v>335</v>
      </c>
      <c r="E37" s="3">
        <v>31.9</v>
      </c>
      <c r="F37" s="3">
        <v>4.4799999999999995</v>
      </c>
      <c r="G37" s="3">
        <v>0.4</v>
      </c>
      <c r="H37" s="3">
        <v>0.34444444444444444</v>
      </c>
      <c r="I37" s="3">
        <v>0.28888888888888886</v>
      </c>
      <c r="J37" s="3">
        <v>0</v>
      </c>
      <c r="K37" s="3">
        <v>0</v>
      </c>
      <c r="L37" s="3">
        <v>0.48100000000000009</v>
      </c>
      <c r="M37" s="3">
        <v>5.211777777777777</v>
      </c>
      <c r="N37" s="3">
        <v>0</v>
      </c>
      <c r="O37" s="3">
        <f>SUM(Table2[[#This Row],[Qualified Social Work Staff Hours]:[Other Social Work Staff Hours]])/Table2[[#This Row],[MDS Census]]</f>
        <v>0.16337861372344128</v>
      </c>
      <c r="P37" s="3">
        <v>0.86099999999999999</v>
      </c>
      <c r="Q37" s="3">
        <v>0</v>
      </c>
      <c r="R37" s="3">
        <f>SUM(Table2[[#This Row],[Qualified Activities Professional Hours]:[Other Activities Professional Hours]])/Table2[[#This Row],[MDS Census]]</f>
        <v>2.6990595611285268E-2</v>
      </c>
      <c r="S37" s="3">
        <v>1.7137777777777776</v>
      </c>
      <c r="T37" s="3">
        <v>3.8768888888888879</v>
      </c>
      <c r="U37" s="3">
        <v>0</v>
      </c>
      <c r="V37" s="3">
        <f>SUM(Table2[[#This Row],[Occupational Therapist Hours]:[OT Aide Hours]])/Table2[[#This Row],[MDS Census]]</f>
        <v>0.17525600835945662</v>
      </c>
      <c r="W37" s="3">
        <v>4.6145555555555555</v>
      </c>
      <c r="X37" s="3">
        <v>0.52333333333333332</v>
      </c>
      <c r="Y37" s="3">
        <v>0</v>
      </c>
      <c r="Z37" s="3">
        <f>SUM(Table2[[#This Row],[Physical Therapist (PT) Hours]:[PT Aide Hours]])/Table2[[#This Row],[MDS Census]]</f>
        <v>0.16106234761407176</v>
      </c>
      <c r="AA37" s="3">
        <v>0</v>
      </c>
      <c r="AB37" s="3">
        <v>0</v>
      </c>
      <c r="AC37" s="3">
        <v>0</v>
      </c>
      <c r="AD37" s="3">
        <v>0</v>
      </c>
      <c r="AE37" s="3">
        <v>0</v>
      </c>
      <c r="AF37" s="3">
        <v>0</v>
      </c>
      <c r="AG37" s="3">
        <v>0</v>
      </c>
      <c r="AH37" s="1" t="s">
        <v>35</v>
      </c>
      <c r="AI37" s="17">
        <v>10</v>
      </c>
      <c r="AJ37" s="1"/>
    </row>
    <row r="38" spans="1:36" x14ac:dyDescent="0.2">
      <c r="A38" s="1" t="s">
        <v>128</v>
      </c>
      <c r="B38" s="1" t="s">
        <v>165</v>
      </c>
      <c r="C38" s="1" t="s">
        <v>283</v>
      </c>
      <c r="D38" s="1" t="s">
        <v>337</v>
      </c>
      <c r="E38" s="3">
        <v>100.14444444444445</v>
      </c>
      <c r="F38" s="3">
        <v>36.044444444444444</v>
      </c>
      <c r="G38" s="3">
        <v>0</v>
      </c>
      <c r="H38" s="3">
        <v>0.59755555555555562</v>
      </c>
      <c r="I38" s="3">
        <v>2.15</v>
      </c>
      <c r="J38" s="3">
        <v>0</v>
      </c>
      <c r="K38" s="3">
        <v>0</v>
      </c>
      <c r="L38" s="3">
        <v>3.0468888888888896</v>
      </c>
      <c r="M38" s="3">
        <v>7.4802222222222223</v>
      </c>
      <c r="N38" s="3">
        <v>3.5866666666666669</v>
      </c>
      <c r="O38" s="3">
        <f>SUM(Table2[[#This Row],[Qualified Social Work Staff Hours]:[Other Social Work Staff Hours]])/Table2[[#This Row],[MDS Census]]</f>
        <v>0.11050926439587264</v>
      </c>
      <c r="P38" s="3">
        <v>4.6477777777777778</v>
      </c>
      <c r="Q38" s="3">
        <v>5.1296666666666662</v>
      </c>
      <c r="R38" s="3">
        <f>SUM(Table2[[#This Row],[Qualified Activities Professional Hours]:[Other Activities Professional Hours]])/Table2[[#This Row],[MDS Census]]</f>
        <v>9.7633418395650734E-2</v>
      </c>
      <c r="S38" s="3">
        <v>5.44688888888889</v>
      </c>
      <c r="T38" s="3">
        <v>13.729666666666665</v>
      </c>
      <c r="U38" s="3">
        <v>0</v>
      </c>
      <c r="V38" s="3">
        <f>SUM(Table2[[#This Row],[Occupational Therapist Hours]:[OT Aide Hours]])/Table2[[#This Row],[MDS Census]]</f>
        <v>0.191488960390547</v>
      </c>
      <c r="W38" s="3">
        <v>11.641777777777779</v>
      </c>
      <c r="X38" s="3">
        <v>18.544666666666664</v>
      </c>
      <c r="Y38" s="3">
        <v>0</v>
      </c>
      <c r="Z38" s="3">
        <f>SUM(Table2[[#This Row],[Physical Therapist (PT) Hours]:[PT Aide Hours]])/Table2[[#This Row],[MDS Census]]</f>
        <v>0.30142904693220901</v>
      </c>
      <c r="AA38" s="3">
        <v>0</v>
      </c>
      <c r="AB38" s="3">
        <v>0</v>
      </c>
      <c r="AC38" s="3">
        <v>0</v>
      </c>
      <c r="AD38" s="3">
        <v>0</v>
      </c>
      <c r="AE38" s="3">
        <v>0</v>
      </c>
      <c r="AF38" s="3">
        <v>0</v>
      </c>
      <c r="AG38" s="3">
        <v>0</v>
      </c>
      <c r="AH38" s="1" t="s">
        <v>36</v>
      </c>
      <c r="AI38" s="17">
        <v>10</v>
      </c>
      <c r="AJ38" s="1"/>
    </row>
    <row r="39" spans="1:36" x14ac:dyDescent="0.2">
      <c r="A39" s="1" t="s">
        <v>128</v>
      </c>
      <c r="B39" s="1" t="s">
        <v>166</v>
      </c>
      <c r="C39" s="1" t="s">
        <v>283</v>
      </c>
      <c r="D39" s="1" t="s">
        <v>337</v>
      </c>
      <c r="E39" s="3">
        <v>111.28888888888889</v>
      </c>
      <c r="F39" s="3">
        <v>42.253666666666668</v>
      </c>
      <c r="G39" s="3">
        <v>0</v>
      </c>
      <c r="H39" s="3">
        <v>0.73733333333333329</v>
      </c>
      <c r="I39" s="3">
        <v>3.4416666666666669</v>
      </c>
      <c r="J39" s="3">
        <v>0</v>
      </c>
      <c r="K39" s="3">
        <v>0</v>
      </c>
      <c r="L39" s="3">
        <v>2.5184444444444445</v>
      </c>
      <c r="M39" s="3">
        <v>6.3904444444444453</v>
      </c>
      <c r="N39" s="3">
        <v>7.5614444444444437</v>
      </c>
      <c r="O39" s="3">
        <f>SUM(Table2[[#This Row],[Qualified Social Work Staff Hours]:[Other Social Work Staff Hours]])/Table2[[#This Row],[MDS Census]]</f>
        <v>0.12536641373801916</v>
      </c>
      <c r="P39" s="3">
        <v>5.0055555555555555</v>
      </c>
      <c r="Q39" s="3">
        <v>8.480777777777778</v>
      </c>
      <c r="R39" s="3">
        <f>SUM(Table2[[#This Row],[Qualified Activities Professional Hours]:[Other Activities Professional Hours]])/Table2[[#This Row],[MDS Census]]</f>
        <v>0.121183107028754</v>
      </c>
      <c r="S39" s="3">
        <v>10.235444444444445</v>
      </c>
      <c r="T39" s="3">
        <v>7.898444444444447</v>
      </c>
      <c r="U39" s="3">
        <v>0</v>
      </c>
      <c r="V39" s="3">
        <f>SUM(Table2[[#This Row],[Occupational Therapist Hours]:[OT Aide Hours]])/Table2[[#This Row],[MDS Census]]</f>
        <v>0.16294428913738021</v>
      </c>
      <c r="W39" s="3">
        <v>12.798777777777779</v>
      </c>
      <c r="X39" s="3">
        <v>10.833333333333334</v>
      </c>
      <c r="Y39" s="3">
        <v>0</v>
      </c>
      <c r="Z39" s="3">
        <f>SUM(Table2[[#This Row],[Physical Therapist (PT) Hours]:[PT Aide Hours]])/Table2[[#This Row],[MDS Census]]</f>
        <v>0.21234924121405754</v>
      </c>
      <c r="AA39" s="3">
        <v>0</v>
      </c>
      <c r="AB39" s="3">
        <v>0</v>
      </c>
      <c r="AC39" s="3">
        <v>0</v>
      </c>
      <c r="AD39" s="3">
        <v>0</v>
      </c>
      <c r="AE39" s="3">
        <v>0</v>
      </c>
      <c r="AF39" s="3">
        <v>0</v>
      </c>
      <c r="AG39" s="3">
        <v>0</v>
      </c>
      <c r="AH39" s="1" t="s">
        <v>37</v>
      </c>
      <c r="AI39" s="17">
        <v>10</v>
      </c>
      <c r="AJ39" s="1"/>
    </row>
    <row r="40" spans="1:36" x14ac:dyDescent="0.2">
      <c r="A40" s="1" t="s">
        <v>128</v>
      </c>
      <c r="B40" s="1" t="s">
        <v>167</v>
      </c>
      <c r="C40" s="1" t="s">
        <v>291</v>
      </c>
      <c r="D40" s="1" t="s">
        <v>339</v>
      </c>
      <c r="E40" s="3">
        <v>43.388888888888886</v>
      </c>
      <c r="F40" s="3">
        <v>5.6888888888888891</v>
      </c>
      <c r="G40" s="3">
        <v>0.60555555555555551</v>
      </c>
      <c r="H40" s="3">
        <v>0</v>
      </c>
      <c r="I40" s="3">
        <v>1.038888888888889</v>
      </c>
      <c r="J40" s="3">
        <v>6.3888888888888884E-2</v>
      </c>
      <c r="K40" s="3">
        <v>0.93333333333333335</v>
      </c>
      <c r="L40" s="3">
        <v>2.14</v>
      </c>
      <c r="M40" s="3">
        <v>5.017222222222224</v>
      </c>
      <c r="N40" s="3">
        <v>0</v>
      </c>
      <c r="O40" s="3">
        <f>SUM(Table2[[#This Row],[Qualified Social Work Staff Hours]:[Other Social Work Staff Hours]])/Table2[[#This Row],[MDS Census]]</f>
        <v>0.11563380281690146</v>
      </c>
      <c r="P40" s="3">
        <v>5.1867777777777802</v>
      </c>
      <c r="Q40" s="3">
        <v>2.3887777777777779</v>
      </c>
      <c r="R40" s="3">
        <f>SUM(Table2[[#This Row],[Qualified Activities Professional Hours]:[Other Activities Professional Hours]])/Table2[[#This Row],[MDS Census]]</f>
        <v>0.17459667093469919</v>
      </c>
      <c r="S40" s="3">
        <v>3.4153333333333324</v>
      </c>
      <c r="T40" s="3">
        <v>0.33155555555555549</v>
      </c>
      <c r="U40" s="3">
        <v>0</v>
      </c>
      <c r="V40" s="3">
        <f>SUM(Table2[[#This Row],[Occupational Therapist Hours]:[OT Aide Hours]])/Table2[[#This Row],[MDS Census]]</f>
        <v>8.6355953905249666E-2</v>
      </c>
      <c r="W40" s="3">
        <v>2.4291111111111117</v>
      </c>
      <c r="X40" s="3">
        <v>4.349555555555555</v>
      </c>
      <c r="Y40" s="3">
        <v>0</v>
      </c>
      <c r="Z40" s="3">
        <f>SUM(Table2[[#This Row],[Physical Therapist (PT) Hours]:[PT Aide Hours]])/Table2[[#This Row],[MDS Census]]</f>
        <v>0.15623047375160051</v>
      </c>
      <c r="AA40" s="3">
        <v>0</v>
      </c>
      <c r="AB40" s="3">
        <v>0</v>
      </c>
      <c r="AC40" s="3">
        <v>0</v>
      </c>
      <c r="AD40" s="3">
        <v>0</v>
      </c>
      <c r="AE40" s="3">
        <v>0</v>
      </c>
      <c r="AF40" s="3">
        <v>0</v>
      </c>
      <c r="AG40" s="3">
        <v>0</v>
      </c>
      <c r="AH40" s="1" t="s">
        <v>38</v>
      </c>
      <c r="AI40" s="17">
        <v>10</v>
      </c>
      <c r="AJ40" s="1"/>
    </row>
    <row r="41" spans="1:36" x14ac:dyDescent="0.2">
      <c r="A41" s="1" t="s">
        <v>128</v>
      </c>
      <c r="B41" s="1" t="s">
        <v>168</v>
      </c>
      <c r="C41" s="1" t="s">
        <v>290</v>
      </c>
      <c r="D41" s="1" t="s">
        <v>330</v>
      </c>
      <c r="E41" s="3">
        <v>65.077777777777783</v>
      </c>
      <c r="F41" s="3">
        <v>24.837444444444444</v>
      </c>
      <c r="G41" s="3">
        <v>0</v>
      </c>
      <c r="H41" s="3">
        <v>0.44655555555555571</v>
      </c>
      <c r="I41" s="3">
        <v>1.0444444444444445</v>
      </c>
      <c r="J41" s="3">
        <v>0</v>
      </c>
      <c r="K41" s="3">
        <v>0</v>
      </c>
      <c r="L41" s="3">
        <v>3.9358888888888899</v>
      </c>
      <c r="M41" s="3">
        <v>4.5823333333333327</v>
      </c>
      <c r="N41" s="3">
        <v>0.39833333333333337</v>
      </c>
      <c r="O41" s="3">
        <f>SUM(Table2[[#This Row],[Qualified Social Work Staff Hours]:[Other Social Work Staff Hours]])/Table2[[#This Row],[MDS Census]]</f>
        <v>7.65340618063855E-2</v>
      </c>
      <c r="P41" s="3">
        <v>0</v>
      </c>
      <c r="Q41" s="3">
        <v>0.81388888888888888</v>
      </c>
      <c r="R41" s="3">
        <f>SUM(Table2[[#This Row],[Qualified Activities Professional Hours]:[Other Activities Professional Hours]])/Table2[[#This Row],[MDS Census]]</f>
        <v>1.2506402595185248E-2</v>
      </c>
      <c r="S41" s="3">
        <v>5.3326666666666664</v>
      </c>
      <c r="T41" s="3">
        <v>8.8188888888888854</v>
      </c>
      <c r="U41" s="3">
        <v>0</v>
      </c>
      <c r="V41" s="3">
        <f>SUM(Table2[[#This Row],[Occupational Therapist Hours]:[OT Aide Hours]])/Table2[[#This Row],[MDS Census]]</f>
        <v>0.21745603551306122</v>
      </c>
      <c r="W41" s="3">
        <v>5.2714444444444446</v>
      </c>
      <c r="X41" s="3">
        <v>10.257555555555557</v>
      </c>
      <c r="Y41" s="3">
        <v>0</v>
      </c>
      <c r="Z41" s="3">
        <f>SUM(Table2[[#This Row],[Physical Therapist (PT) Hours]:[PT Aide Hours]])/Table2[[#This Row],[MDS Census]]</f>
        <v>0.23862216151613455</v>
      </c>
      <c r="AA41" s="3">
        <v>0</v>
      </c>
      <c r="AB41" s="3">
        <v>0</v>
      </c>
      <c r="AC41" s="3">
        <v>0</v>
      </c>
      <c r="AD41" s="3">
        <v>0</v>
      </c>
      <c r="AE41" s="3">
        <v>0</v>
      </c>
      <c r="AF41" s="3">
        <v>0</v>
      </c>
      <c r="AG41" s="3">
        <v>0</v>
      </c>
      <c r="AH41" s="1" t="s">
        <v>39</v>
      </c>
      <c r="AI41" s="17">
        <v>10</v>
      </c>
      <c r="AJ41" s="1"/>
    </row>
    <row r="42" spans="1:36" x14ac:dyDescent="0.2">
      <c r="A42" s="1" t="s">
        <v>128</v>
      </c>
      <c r="B42" s="1" t="s">
        <v>169</v>
      </c>
      <c r="C42" s="1" t="s">
        <v>276</v>
      </c>
      <c r="D42" s="1" t="s">
        <v>335</v>
      </c>
      <c r="E42" s="3">
        <v>38.344444444444441</v>
      </c>
      <c r="F42" s="3">
        <v>5.6888888888888891</v>
      </c>
      <c r="G42" s="3">
        <v>0</v>
      </c>
      <c r="H42" s="3">
        <v>0</v>
      </c>
      <c r="I42" s="3">
        <v>1.1277777777777778</v>
      </c>
      <c r="J42" s="3">
        <v>0</v>
      </c>
      <c r="K42" s="3">
        <v>0</v>
      </c>
      <c r="L42" s="3">
        <v>1.1997777777777778</v>
      </c>
      <c r="M42" s="3">
        <v>5.4928888888888894</v>
      </c>
      <c r="N42" s="3">
        <v>0</v>
      </c>
      <c r="O42" s="3">
        <f>SUM(Table2[[#This Row],[Qualified Social Work Staff Hours]:[Other Social Work Staff Hours]])/Table2[[#This Row],[MDS Census]]</f>
        <v>0.14325123152709363</v>
      </c>
      <c r="P42" s="3">
        <v>6.4406666666666679</v>
      </c>
      <c r="Q42" s="3">
        <v>2.8001111111111112</v>
      </c>
      <c r="R42" s="3">
        <f>SUM(Table2[[#This Row],[Qualified Activities Professional Hours]:[Other Activities Professional Hours]])/Table2[[#This Row],[MDS Census]]</f>
        <v>0.24099391480730228</v>
      </c>
      <c r="S42" s="3">
        <v>2.1112222222222217</v>
      </c>
      <c r="T42" s="3">
        <v>2.2963333333333327</v>
      </c>
      <c r="U42" s="3">
        <v>0</v>
      </c>
      <c r="V42" s="3">
        <f>SUM(Table2[[#This Row],[Occupational Therapist Hours]:[OT Aide Hours]])/Table2[[#This Row],[MDS Census]]</f>
        <v>0.11494639235004343</v>
      </c>
      <c r="W42" s="3">
        <v>2.6796666666666664</v>
      </c>
      <c r="X42" s="3">
        <v>4.3308888888888877</v>
      </c>
      <c r="Y42" s="3">
        <v>0</v>
      </c>
      <c r="Z42" s="3">
        <f>SUM(Table2[[#This Row],[Physical Therapist (PT) Hours]:[PT Aide Hours]])/Table2[[#This Row],[MDS Census]]</f>
        <v>0.18283106345986666</v>
      </c>
      <c r="AA42" s="3">
        <v>0</v>
      </c>
      <c r="AB42" s="3">
        <v>0</v>
      </c>
      <c r="AC42" s="3">
        <v>0</v>
      </c>
      <c r="AD42" s="3">
        <v>0</v>
      </c>
      <c r="AE42" s="3">
        <v>0</v>
      </c>
      <c r="AF42" s="3">
        <v>0</v>
      </c>
      <c r="AG42" s="3">
        <v>0</v>
      </c>
      <c r="AH42" s="1" t="s">
        <v>40</v>
      </c>
      <c r="AI42" s="17">
        <v>10</v>
      </c>
      <c r="AJ42" s="1"/>
    </row>
    <row r="43" spans="1:36" x14ac:dyDescent="0.2">
      <c r="A43" s="1" t="s">
        <v>128</v>
      </c>
      <c r="B43" s="1" t="s">
        <v>170</v>
      </c>
      <c r="C43" s="1" t="s">
        <v>292</v>
      </c>
      <c r="D43" s="1" t="s">
        <v>321</v>
      </c>
      <c r="E43" s="3">
        <v>45.611111111111114</v>
      </c>
      <c r="F43" s="3">
        <v>6.1333333333333337</v>
      </c>
      <c r="G43" s="3">
        <v>0.45</v>
      </c>
      <c r="H43" s="3">
        <v>0</v>
      </c>
      <c r="I43" s="3">
        <v>2.2777777777777777</v>
      </c>
      <c r="J43" s="3">
        <v>0.74722222222222223</v>
      </c>
      <c r="K43" s="3">
        <v>0.39577777777777784</v>
      </c>
      <c r="L43" s="3">
        <v>4.0186666666666673</v>
      </c>
      <c r="M43" s="3">
        <v>4.1697777777777771</v>
      </c>
      <c r="N43" s="3">
        <v>4.9876666666666667</v>
      </c>
      <c r="O43" s="3">
        <f>SUM(Table2[[#This Row],[Qualified Social Work Staff Hours]:[Other Social Work Staff Hours]])/Table2[[#This Row],[MDS Census]]</f>
        <v>0.20077222898903774</v>
      </c>
      <c r="P43" s="3">
        <v>3.824444444444445</v>
      </c>
      <c r="Q43" s="3">
        <v>2.112222222222222</v>
      </c>
      <c r="R43" s="3">
        <f>SUM(Table2[[#This Row],[Qualified Activities Professional Hours]:[Other Activities Professional Hours]])/Table2[[#This Row],[MDS Census]]</f>
        <v>0.13015834348355665</v>
      </c>
      <c r="S43" s="3">
        <v>5.4534444444444441</v>
      </c>
      <c r="T43" s="3">
        <v>0.3783333333333333</v>
      </c>
      <c r="U43" s="3">
        <v>0</v>
      </c>
      <c r="V43" s="3">
        <f>SUM(Table2[[#This Row],[Occupational Therapist Hours]:[OT Aide Hours]])/Table2[[#This Row],[MDS Census]]</f>
        <v>0.12785870889159559</v>
      </c>
      <c r="W43" s="3">
        <v>4.4459999999999988</v>
      </c>
      <c r="X43" s="3">
        <v>5.7646666666666659</v>
      </c>
      <c r="Y43" s="3">
        <v>0</v>
      </c>
      <c r="Z43" s="3">
        <f>SUM(Table2[[#This Row],[Physical Therapist (PT) Hours]:[PT Aide Hours]])/Table2[[#This Row],[MDS Census]]</f>
        <v>0.22386358099878192</v>
      </c>
      <c r="AA43" s="3">
        <v>0</v>
      </c>
      <c r="AB43" s="3">
        <v>0</v>
      </c>
      <c r="AC43" s="3">
        <v>0</v>
      </c>
      <c r="AD43" s="3">
        <v>0</v>
      </c>
      <c r="AE43" s="3">
        <v>0</v>
      </c>
      <c r="AF43" s="3">
        <v>0</v>
      </c>
      <c r="AG43" s="3">
        <v>0</v>
      </c>
      <c r="AH43" s="1" t="s">
        <v>41</v>
      </c>
      <c r="AI43" s="17">
        <v>10</v>
      </c>
      <c r="AJ43" s="1"/>
    </row>
    <row r="44" spans="1:36" x14ac:dyDescent="0.2">
      <c r="A44" s="1" t="s">
        <v>128</v>
      </c>
      <c r="B44" s="1" t="s">
        <v>171</v>
      </c>
      <c r="C44" s="1" t="s">
        <v>281</v>
      </c>
      <c r="D44" s="1" t="s">
        <v>335</v>
      </c>
      <c r="E44" s="3">
        <v>100.47777777777777</v>
      </c>
      <c r="F44" s="3">
        <v>45.789444444444449</v>
      </c>
      <c r="G44" s="3">
        <v>0</v>
      </c>
      <c r="H44" s="3">
        <v>0.78988888888888897</v>
      </c>
      <c r="I44" s="3">
        <v>2.7166666666666668</v>
      </c>
      <c r="J44" s="3">
        <v>0</v>
      </c>
      <c r="K44" s="3">
        <v>0</v>
      </c>
      <c r="L44" s="3">
        <v>12.540444444444448</v>
      </c>
      <c r="M44" s="3">
        <v>11.653333333333332</v>
      </c>
      <c r="N44" s="3">
        <v>5.3933333333333326</v>
      </c>
      <c r="O44" s="3">
        <f>SUM(Table2[[#This Row],[Qualified Social Work Staff Hours]:[Other Social Work Staff Hours]])/Table2[[#This Row],[MDS Census]]</f>
        <v>0.16965608758155482</v>
      </c>
      <c r="P44" s="3">
        <v>5.166666666666667</v>
      </c>
      <c r="Q44" s="3">
        <v>4.5396666666666663</v>
      </c>
      <c r="R44" s="3">
        <f>SUM(Table2[[#This Row],[Qualified Activities Professional Hours]:[Other Activities Professional Hours]])/Table2[[#This Row],[MDS Census]]</f>
        <v>9.6601791440893509E-2</v>
      </c>
      <c r="S44" s="3">
        <v>7.640222222222226</v>
      </c>
      <c r="T44" s="3">
        <v>15.512777777777769</v>
      </c>
      <c r="U44" s="3">
        <v>0</v>
      </c>
      <c r="V44" s="3">
        <f>SUM(Table2[[#This Row],[Occupational Therapist Hours]:[OT Aide Hours]])/Table2[[#This Row],[MDS Census]]</f>
        <v>0.23042906115227244</v>
      </c>
      <c r="W44" s="3">
        <v>10.481444444444445</v>
      </c>
      <c r="X44" s="3">
        <v>16.305555555555557</v>
      </c>
      <c r="Y44" s="3">
        <v>0</v>
      </c>
      <c r="Z44" s="3">
        <f>SUM(Table2[[#This Row],[Physical Therapist (PT) Hours]:[PT Aide Hours]])/Table2[[#This Row],[MDS Census]]</f>
        <v>0.26659626230233335</v>
      </c>
      <c r="AA44" s="3">
        <v>0</v>
      </c>
      <c r="AB44" s="3">
        <v>0</v>
      </c>
      <c r="AC44" s="3">
        <v>0</v>
      </c>
      <c r="AD44" s="3">
        <v>0</v>
      </c>
      <c r="AE44" s="3">
        <v>0</v>
      </c>
      <c r="AF44" s="3">
        <v>0</v>
      </c>
      <c r="AG44" s="3">
        <v>0</v>
      </c>
      <c r="AH44" s="1" t="s">
        <v>42</v>
      </c>
      <c r="AI44" s="17">
        <v>10</v>
      </c>
      <c r="AJ44" s="1"/>
    </row>
    <row r="45" spans="1:36" x14ac:dyDescent="0.2">
      <c r="A45" s="1" t="s">
        <v>128</v>
      </c>
      <c r="B45" s="1" t="s">
        <v>172</v>
      </c>
      <c r="C45" s="1" t="s">
        <v>293</v>
      </c>
      <c r="D45" s="1" t="s">
        <v>332</v>
      </c>
      <c r="E45" s="3">
        <v>38.68888888888889</v>
      </c>
      <c r="F45" s="3">
        <v>32.28788888888888</v>
      </c>
      <c r="G45" s="3">
        <v>0.6333333333333333</v>
      </c>
      <c r="H45" s="3">
        <v>0.18333333333333332</v>
      </c>
      <c r="I45" s="3">
        <v>0.34722222222222221</v>
      </c>
      <c r="J45" s="3">
        <v>0</v>
      </c>
      <c r="K45" s="3">
        <v>0</v>
      </c>
      <c r="L45" s="3">
        <v>0</v>
      </c>
      <c r="M45" s="3">
        <v>5.2139999999999995</v>
      </c>
      <c r="N45" s="3">
        <v>2.7531111111111106</v>
      </c>
      <c r="O45" s="3">
        <f>SUM(Table2[[#This Row],[Qualified Social Work Staff Hours]:[Other Social Work Staff Hours]])/Table2[[#This Row],[MDS Census]]</f>
        <v>0.20592762780011487</v>
      </c>
      <c r="P45" s="3">
        <v>3.2093333333333338</v>
      </c>
      <c r="Q45" s="3">
        <v>3.2178888888888877</v>
      </c>
      <c r="R45" s="3">
        <f>SUM(Table2[[#This Row],[Qualified Activities Professional Hours]:[Other Activities Professional Hours]])/Table2[[#This Row],[MDS Census]]</f>
        <v>0.1661257897759908</v>
      </c>
      <c r="S45" s="3">
        <v>5.3583333333333343</v>
      </c>
      <c r="T45" s="3">
        <v>2.3836666666666662</v>
      </c>
      <c r="U45" s="3">
        <v>0</v>
      </c>
      <c r="V45" s="3">
        <f>SUM(Table2[[#This Row],[Occupational Therapist Hours]:[OT Aide Hours]])/Table2[[#This Row],[MDS Census]]</f>
        <v>0.20010913268236646</v>
      </c>
      <c r="W45" s="3">
        <v>5.9833333333333325</v>
      </c>
      <c r="X45" s="3">
        <v>8.5193333333333339</v>
      </c>
      <c r="Y45" s="3">
        <v>0</v>
      </c>
      <c r="Z45" s="3">
        <f>SUM(Table2[[#This Row],[Physical Therapist (PT) Hours]:[PT Aide Hours]])/Table2[[#This Row],[MDS Census]]</f>
        <v>0.37485353245261344</v>
      </c>
      <c r="AA45" s="3">
        <v>0</v>
      </c>
      <c r="AB45" s="3">
        <v>0</v>
      </c>
      <c r="AC45" s="3">
        <v>0</v>
      </c>
      <c r="AD45" s="3">
        <v>0</v>
      </c>
      <c r="AE45" s="3">
        <v>0</v>
      </c>
      <c r="AF45" s="3">
        <v>0</v>
      </c>
      <c r="AG45" s="3">
        <v>0</v>
      </c>
      <c r="AH45" s="1" t="s">
        <v>43</v>
      </c>
      <c r="AI45" s="17">
        <v>10</v>
      </c>
      <c r="AJ45" s="1"/>
    </row>
    <row r="46" spans="1:36" x14ac:dyDescent="0.2">
      <c r="A46" s="1" t="s">
        <v>128</v>
      </c>
      <c r="B46" s="1" t="s">
        <v>173</v>
      </c>
      <c r="C46" s="1" t="s">
        <v>294</v>
      </c>
      <c r="D46" s="1" t="s">
        <v>343</v>
      </c>
      <c r="E46" s="3">
        <v>24.077777777777779</v>
      </c>
      <c r="F46" s="3">
        <v>6.1111111111111107</v>
      </c>
      <c r="G46" s="3">
        <v>0</v>
      </c>
      <c r="H46" s="3">
        <v>0</v>
      </c>
      <c r="I46" s="3">
        <v>5.1138888888888889</v>
      </c>
      <c r="J46" s="3">
        <v>0</v>
      </c>
      <c r="K46" s="3">
        <v>0</v>
      </c>
      <c r="L46" s="3">
        <v>1.0326666666666666</v>
      </c>
      <c r="M46" s="3">
        <v>4.8388888888888886</v>
      </c>
      <c r="N46" s="3">
        <v>0</v>
      </c>
      <c r="O46" s="3">
        <f>SUM(Table2[[#This Row],[Qualified Social Work Staff Hours]:[Other Social Work Staff Hours]])/Table2[[#This Row],[MDS Census]]</f>
        <v>0.20096908167974156</v>
      </c>
      <c r="P46" s="3">
        <v>4.5222222222222221</v>
      </c>
      <c r="Q46" s="3">
        <v>0</v>
      </c>
      <c r="R46" s="3">
        <f>SUM(Table2[[#This Row],[Qualified Activities Professional Hours]:[Other Activities Professional Hours]])/Table2[[#This Row],[MDS Census]]</f>
        <v>0.18781725888324871</v>
      </c>
      <c r="S46" s="3">
        <v>1.1135555555555556</v>
      </c>
      <c r="T46" s="3">
        <v>4.0888888888888886</v>
      </c>
      <c r="U46" s="3">
        <v>0</v>
      </c>
      <c r="V46" s="3">
        <f>SUM(Table2[[#This Row],[Occupational Therapist Hours]:[OT Aide Hours]])/Table2[[#This Row],[MDS Census]]</f>
        <v>0.21606829718504841</v>
      </c>
      <c r="W46" s="3">
        <v>1.5952222222222221</v>
      </c>
      <c r="X46" s="3">
        <v>5.2545555555555561</v>
      </c>
      <c r="Y46" s="3">
        <v>0</v>
      </c>
      <c r="Z46" s="3">
        <f>SUM(Table2[[#This Row],[Physical Therapist (PT) Hours]:[PT Aide Hours]])/Table2[[#This Row],[MDS Census]]</f>
        <v>0.28448546377480388</v>
      </c>
      <c r="AA46" s="3">
        <v>0</v>
      </c>
      <c r="AB46" s="3">
        <v>0</v>
      </c>
      <c r="AC46" s="3">
        <v>0</v>
      </c>
      <c r="AD46" s="3">
        <v>26.461111111111112</v>
      </c>
      <c r="AE46" s="3">
        <v>0</v>
      </c>
      <c r="AF46" s="3">
        <v>0</v>
      </c>
      <c r="AG46" s="3">
        <v>0</v>
      </c>
      <c r="AH46" s="1" t="s">
        <v>44</v>
      </c>
      <c r="AI46" s="17">
        <v>10</v>
      </c>
      <c r="AJ46" s="1"/>
    </row>
    <row r="47" spans="1:36" x14ac:dyDescent="0.2">
      <c r="A47" s="1" t="s">
        <v>128</v>
      </c>
      <c r="B47" s="1" t="s">
        <v>174</v>
      </c>
      <c r="C47" s="1" t="s">
        <v>261</v>
      </c>
      <c r="D47" s="1" t="s">
        <v>327</v>
      </c>
      <c r="E47" s="3">
        <v>40.06666666666667</v>
      </c>
      <c r="F47" s="3">
        <v>5.6</v>
      </c>
      <c r="G47" s="3">
        <v>0.26666666666666666</v>
      </c>
      <c r="H47" s="3">
        <v>0</v>
      </c>
      <c r="I47" s="3">
        <v>1.0222222222222221</v>
      </c>
      <c r="J47" s="3">
        <v>0</v>
      </c>
      <c r="K47" s="3">
        <v>1.6666666666666667</v>
      </c>
      <c r="L47" s="3">
        <v>1.0172222222222222</v>
      </c>
      <c r="M47" s="3">
        <v>0</v>
      </c>
      <c r="N47" s="3">
        <v>4.8916666666666666</v>
      </c>
      <c r="O47" s="3">
        <f>SUM(Table2[[#This Row],[Qualified Social Work Staff Hours]:[Other Social Work Staff Hours]])/Table2[[#This Row],[MDS Census]]</f>
        <v>0.1220881863560732</v>
      </c>
      <c r="P47" s="3">
        <v>4.3166666666666664</v>
      </c>
      <c r="Q47" s="3">
        <v>3.0861111111111112</v>
      </c>
      <c r="R47" s="3">
        <f>SUM(Table2[[#This Row],[Qualified Activities Professional Hours]:[Other Activities Professional Hours]])/Table2[[#This Row],[MDS Census]]</f>
        <v>0.18476150859678311</v>
      </c>
      <c r="S47" s="3">
        <v>5.1372222222222224</v>
      </c>
      <c r="T47" s="3">
        <v>0</v>
      </c>
      <c r="U47" s="3">
        <v>0</v>
      </c>
      <c r="V47" s="3">
        <f>SUM(Table2[[#This Row],[Occupational Therapist Hours]:[OT Aide Hours]])/Table2[[#This Row],[MDS Census]]</f>
        <v>0.12821686078757624</v>
      </c>
      <c r="W47" s="3">
        <v>4.8932222222222226</v>
      </c>
      <c r="X47" s="3">
        <v>5.0411111111111113</v>
      </c>
      <c r="Y47" s="3">
        <v>0</v>
      </c>
      <c r="Z47" s="3">
        <f>SUM(Table2[[#This Row],[Physical Therapist (PT) Hours]:[PT Aide Hours]])/Table2[[#This Row],[MDS Census]]</f>
        <v>0.24794509151414312</v>
      </c>
      <c r="AA47" s="3">
        <v>0</v>
      </c>
      <c r="AB47" s="3">
        <v>0</v>
      </c>
      <c r="AC47" s="3">
        <v>0</v>
      </c>
      <c r="AD47" s="3">
        <v>0</v>
      </c>
      <c r="AE47" s="3">
        <v>0</v>
      </c>
      <c r="AF47" s="3">
        <v>0</v>
      </c>
      <c r="AG47" s="3">
        <v>0</v>
      </c>
      <c r="AH47" s="1" t="s">
        <v>45</v>
      </c>
      <c r="AI47" s="17">
        <v>10</v>
      </c>
      <c r="AJ47" s="1"/>
    </row>
    <row r="48" spans="1:36" x14ac:dyDescent="0.2">
      <c r="A48" s="1" t="s">
        <v>128</v>
      </c>
      <c r="B48" s="1" t="s">
        <v>175</v>
      </c>
      <c r="C48" s="1" t="s">
        <v>295</v>
      </c>
      <c r="D48" s="1" t="s">
        <v>330</v>
      </c>
      <c r="E48" s="3">
        <v>13.9</v>
      </c>
      <c r="F48" s="3">
        <v>5.6</v>
      </c>
      <c r="G48" s="3">
        <v>0.33333333333333331</v>
      </c>
      <c r="H48" s="3">
        <v>9.4444444444444442E-2</v>
      </c>
      <c r="I48" s="3">
        <v>0.12222222222222222</v>
      </c>
      <c r="J48" s="3">
        <v>0</v>
      </c>
      <c r="K48" s="3">
        <v>0</v>
      </c>
      <c r="L48" s="3">
        <v>0</v>
      </c>
      <c r="M48" s="3">
        <v>0</v>
      </c>
      <c r="N48" s="3">
        <v>0</v>
      </c>
      <c r="O48" s="3">
        <f>SUM(Table2[[#This Row],[Qualified Social Work Staff Hours]:[Other Social Work Staff Hours]])/Table2[[#This Row],[MDS Census]]</f>
        <v>0</v>
      </c>
      <c r="P48" s="3">
        <v>0</v>
      </c>
      <c r="Q48" s="3">
        <v>0</v>
      </c>
      <c r="R48" s="3">
        <f>SUM(Table2[[#This Row],[Qualified Activities Professional Hours]:[Other Activities Professional Hours]])/Table2[[#This Row],[MDS Census]]</f>
        <v>0</v>
      </c>
      <c r="S48" s="3">
        <v>0.11944444444444445</v>
      </c>
      <c r="T48" s="3">
        <v>0</v>
      </c>
      <c r="U48" s="3">
        <v>0</v>
      </c>
      <c r="V48" s="3">
        <f>SUM(Table2[[#This Row],[Occupational Therapist Hours]:[OT Aide Hours]])/Table2[[#This Row],[MDS Census]]</f>
        <v>8.5931254996003195E-3</v>
      </c>
      <c r="W48" s="3">
        <v>5.7666666666666672E-2</v>
      </c>
      <c r="X48" s="3">
        <v>0</v>
      </c>
      <c r="Y48" s="3">
        <v>0</v>
      </c>
      <c r="Z48" s="3">
        <f>SUM(Table2[[#This Row],[Physical Therapist (PT) Hours]:[PT Aide Hours]])/Table2[[#This Row],[MDS Census]]</f>
        <v>4.1486810551558759E-3</v>
      </c>
      <c r="AA48" s="3">
        <v>0</v>
      </c>
      <c r="AB48" s="3">
        <v>0</v>
      </c>
      <c r="AC48" s="3">
        <v>0</v>
      </c>
      <c r="AD48" s="3">
        <v>0</v>
      </c>
      <c r="AE48" s="3">
        <v>0</v>
      </c>
      <c r="AF48" s="3">
        <v>0</v>
      </c>
      <c r="AG48" s="3">
        <v>0</v>
      </c>
      <c r="AH48" s="1" t="s">
        <v>46</v>
      </c>
      <c r="AI48" s="17">
        <v>10</v>
      </c>
      <c r="AJ48" s="1"/>
    </row>
    <row r="49" spans="1:36" x14ac:dyDescent="0.2">
      <c r="A49" s="1" t="s">
        <v>128</v>
      </c>
      <c r="B49" s="1" t="s">
        <v>176</v>
      </c>
      <c r="C49" s="1" t="s">
        <v>296</v>
      </c>
      <c r="D49" s="1" t="s">
        <v>333</v>
      </c>
      <c r="E49" s="3">
        <v>22.833333333333332</v>
      </c>
      <c r="F49" s="3">
        <v>0</v>
      </c>
      <c r="G49" s="3">
        <v>0.52222222222222225</v>
      </c>
      <c r="H49" s="3">
        <v>0.17322222222222222</v>
      </c>
      <c r="I49" s="3">
        <v>4.8666666666666663</v>
      </c>
      <c r="J49" s="3">
        <v>0</v>
      </c>
      <c r="K49" s="3">
        <v>0</v>
      </c>
      <c r="L49" s="3">
        <v>0.19244444444444445</v>
      </c>
      <c r="M49" s="3">
        <v>0</v>
      </c>
      <c r="N49" s="3">
        <v>5.2704444444444443</v>
      </c>
      <c r="O49" s="3">
        <f>SUM(Table2[[#This Row],[Qualified Social Work Staff Hours]:[Other Social Work Staff Hours]])/Table2[[#This Row],[MDS Census]]</f>
        <v>0.23082238442822384</v>
      </c>
      <c r="P49" s="3">
        <v>0</v>
      </c>
      <c r="Q49" s="3">
        <v>3.8767777777777774</v>
      </c>
      <c r="R49" s="3">
        <f>SUM(Table2[[#This Row],[Qualified Activities Professional Hours]:[Other Activities Professional Hours]])/Table2[[#This Row],[MDS Census]]</f>
        <v>0.16978588807785888</v>
      </c>
      <c r="S49" s="3">
        <v>5.8395555555555561</v>
      </c>
      <c r="T49" s="3">
        <v>0</v>
      </c>
      <c r="U49" s="3">
        <v>0</v>
      </c>
      <c r="V49" s="3">
        <f>SUM(Table2[[#This Row],[Occupational Therapist Hours]:[OT Aide Hours]])/Table2[[#This Row],[MDS Census]]</f>
        <v>0.2557469586374696</v>
      </c>
      <c r="W49" s="3">
        <v>0.63300000000000023</v>
      </c>
      <c r="X49" s="3">
        <v>4.1183333333333332</v>
      </c>
      <c r="Y49" s="3">
        <v>0</v>
      </c>
      <c r="Z49" s="3">
        <f>SUM(Table2[[#This Row],[Physical Therapist (PT) Hours]:[PT Aide Hours]])/Table2[[#This Row],[MDS Census]]</f>
        <v>0.20808759124087592</v>
      </c>
      <c r="AA49" s="3">
        <v>0</v>
      </c>
      <c r="AB49" s="3">
        <v>0</v>
      </c>
      <c r="AC49" s="3">
        <v>0</v>
      </c>
      <c r="AD49" s="3">
        <v>0</v>
      </c>
      <c r="AE49" s="3">
        <v>0</v>
      </c>
      <c r="AF49" s="3">
        <v>0</v>
      </c>
      <c r="AG49" s="3">
        <v>0</v>
      </c>
      <c r="AH49" s="1" t="s">
        <v>47</v>
      </c>
      <c r="AI49" s="17">
        <v>10</v>
      </c>
      <c r="AJ49" s="1"/>
    </row>
    <row r="50" spans="1:36" x14ac:dyDescent="0.2">
      <c r="A50" s="1" t="s">
        <v>128</v>
      </c>
      <c r="B50" s="1" t="s">
        <v>177</v>
      </c>
      <c r="C50" s="1" t="s">
        <v>297</v>
      </c>
      <c r="D50" s="1" t="s">
        <v>321</v>
      </c>
      <c r="E50" s="3">
        <v>116.47777777777777</v>
      </c>
      <c r="F50" s="3">
        <v>5.0666666666666664</v>
      </c>
      <c r="G50" s="3">
        <v>0</v>
      </c>
      <c r="H50" s="3">
        <v>0.43333333333333335</v>
      </c>
      <c r="I50" s="3">
        <v>1.7472222222222222</v>
      </c>
      <c r="J50" s="3">
        <v>0</v>
      </c>
      <c r="K50" s="3">
        <v>0</v>
      </c>
      <c r="L50" s="3">
        <v>4.8190000000000008</v>
      </c>
      <c r="M50" s="3">
        <v>18.6588888888889</v>
      </c>
      <c r="N50" s="3">
        <v>0</v>
      </c>
      <c r="O50" s="3">
        <f>SUM(Table2[[#This Row],[Qualified Social Work Staff Hours]:[Other Social Work Staff Hours]])/Table2[[#This Row],[MDS Census]]</f>
        <v>0.16019269293141286</v>
      </c>
      <c r="P50" s="3">
        <v>0</v>
      </c>
      <c r="Q50" s="3">
        <v>20.864000000000001</v>
      </c>
      <c r="R50" s="3">
        <f>SUM(Table2[[#This Row],[Qualified Activities Professional Hours]:[Other Activities Professional Hours]])/Table2[[#This Row],[MDS Census]]</f>
        <v>0.17912429648001527</v>
      </c>
      <c r="S50" s="3">
        <v>13.338111111111109</v>
      </c>
      <c r="T50" s="3">
        <v>7.6635555555555532</v>
      </c>
      <c r="U50" s="3">
        <v>0</v>
      </c>
      <c r="V50" s="3">
        <f>SUM(Table2[[#This Row],[Occupational Therapist Hours]:[OT Aide Hours]])/Table2[[#This Row],[MDS Census]]</f>
        <v>0.18030621005437372</v>
      </c>
      <c r="W50" s="3">
        <v>13.656444444444446</v>
      </c>
      <c r="X50" s="3">
        <v>12.291444444444448</v>
      </c>
      <c r="Y50" s="3">
        <v>0</v>
      </c>
      <c r="Z50" s="3">
        <f>SUM(Table2[[#This Row],[Physical Therapist (PT) Hours]:[PT Aide Hours]])/Table2[[#This Row],[MDS Census]]</f>
        <v>0.22277115329581232</v>
      </c>
      <c r="AA50" s="3">
        <v>0</v>
      </c>
      <c r="AB50" s="3">
        <v>0</v>
      </c>
      <c r="AC50" s="3">
        <v>0</v>
      </c>
      <c r="AD50" s="3">
        <v>0</v>
      </c>
      <c r="AE50" s="3">
        <v>0</v>
      </c>
      <c r="AF50" s="3">
        <v>0</v>
      </c>
      <c r="AG50" s="3">
        <v>0</v>
      </c>
      <c r="AH50" s="1" t="s">
        <v>48</v>
      </c>
      <c r="AI50" s="17">
        <v>10</v>
      </c>
      <c r="AJ50" s="1"/>
    </row>
    <row r="51" spans="1:36" x14ac:dyDescent="0.2">
      <c r="A51" s="1" t="s">
        <v>128</v>
      </c>
      <c r="B51" s="1" t="s">
        <v>178</v>
      </c>
      <c r="C51" s="1" t="s">
        <v>281</v>
      </c>
      <c r="D51" s="1" t="s">
        <v>335</v>
      </c>
      <c r="E51" s="3">
        <v>80.433333333333337</v>
      </c>
      <c r="F51" s="3">
        <v>36.683555555555557</v>
      </c>
      <c r="G51" s="3">
        <v>0</v>
      </c>
      <c r="H51" s="3">
        <v>0.57677777777777794</v>
      </c>
      <c r="I51" s="3">
        <v>0.75277777777777777</v>
      </c>
      <c r="J51" s="3">
        <v>0</v>
      </c>
      <c r="K51" s="3">
        <v>0</v>
      </c>
      <c r="L51" s="3">
        <v>5.4665555555555558</v>
      </c>
      <c r="M51" s="3">
        <v>10.855333333333334</v>
      </c>
      <c r="N51" s="3">
        <v>0</v>
      </c>
      <c r="O51" s="3">
        <f>SUM(Table2[[#This Row],[Qualified Social Work Staff Hours]:[Other Social Work Staff Hours]])/Table2[[#This Row],[MDS Census]]</f>
        <v>0.13496062992125984</v>
      </c>
      <c r="P51" s="3">
        <v>4.5555555555555554</v>
      </c>
      <c r="Q51" s="3">
        <v>5.5813333333333333</v>
      </c>
      <c r="R51" s="3">
        <f>SUM(Table2[[#This Row],[Qualified Activities Professional Hours]:[Other Activities Professional Hours]])/Table2[[#This Row],[MDS Census]]</f>
        <v>0.12602845696919462</v>
      </c>
      <c r="S51" s="3">
        <v>6.4194444444444443</v>
      </c>
      <c r="T51" s="3">
        <v>8.6247777777777763</v>
      </c>
      <c r="U51" s="3">
        <v>0</v>
      </c>
      <c r="V51" s="3">
        <f>SUM(Table2[[#This Row],[Occupational Therapist Hours]:[OT Aide Hours]])/Table2[[#This Row],[MDS Census]]</f>
        <v>0.18703964635999445</v>
      </c>
      <c r="W51" s="3">
        <v>4.8044444444444441</v>
      </c>
      <c r="X51" s="3">
        <v>9.6795555555555559</v>
      </c>
      <c r="Y51" s="3">
        <v>0</v>
      </c>
      <c r="Z51" s="3">
        <f>SUM(Table2[[#This Row],[Physical Therapist (PT) Hours]:[PT Aide Hours]])/Table2[[#This Row],[MDS Census]]</f>
        <v>0.18007459593866557</v>
      </c>
      <c r="AA51" s="3">
        <v>0</v>
      </c>
      <c r="AB51" s="3">
        <v>0</v>
      </c>
      <c r="AC51" s="3">
        <v>0</v>
      </c>
      <c r="AD51" s="3">
        <v>0</v>
      </c>
      <c r="AE51" s="3">
        <v>0</v>
      </c>
      <c r="AF51" s="3">
        <v>0</v>
      </c>
      <c r="AG51" s="3">
        <v>0</v>
      </c>
      <c r="AH51" s="1" t="s">
        <v>49</v>
      </c>
      <c r="AI51" s="17">
        <v>10</v>
      </c>
      <c r="AJ51" s="1"/>
    </row>
    <row r="52" spans="1:36" x14ac:dyDescent="0.2">
      <c r="A52" s="1" t="s">
        <v>128</v>
      </c>
      <c r="B52" s="1" t="s">
        <v>179</v>
      </c>
      <c r="C52" s="1" t="s">
        <v>267</v>
      </c>
      <c r="D52" s="1" t="s">
        <v>331</v>
      </c>
      <c r="E52" s="3">
        <v>67.522222222222226</v>
      </c>
      <c r="F52" s="3">
        <v>5.6</v>
      </c>
      <c r="G52" s="3">
        <v>2.7777777777777777</v>
      </c>
      <c r="H52" s="3">
        <v>0.36666666666666664</v>
      </c>
      <c r="I52" s="3">
        <v>1.3555555555555556</v>
      </c>
      <c r="J52" s="3">
        <v>0</v>
      </c>
      <c r="K52" s="3">
        <v>0</v>
      </c>
      <c r="L52" s="3">
        <v>4.322111111111111</v>
      </c>
      <c r="M52" s="3">
        <v>4.5444444444444443</v>
      </c>
      <c r="N52" s="3">
        <v>4.4888888888888889</v>
      </c>
      <c r="O52" s="3">
        <f>SUM(Table2[[#This Row],[Qualified Social Work Staff Hours]:[Other Social Work Staff Hours]])/Table2[[#This Row],[MDS Census]]</f>
        <v>0.13378311666940923</v>
      </c>
      <c r="P52" s="3">
        <v>7.2138888888888886</v>
      </c>
      <c r="Q52" s="3">
        <v>0</v>
      </c>
      <c r="R52" s="3">
        <f>SUM(Table2[[#This Row],[Qualified Activities Professional Hours]:[Other Activities Professional Hours]])/Table2[[#This Row],[MDS Census]]</f>
        <v>0.1068372552246174</v>
      </c>
      <c r="S52" s="3">
        <v>4.4917777777777763</v>
      </c>
      <c r="T52" s="3">
        <v>5.4337777777777774</v>
      </c>
      <c r="U52" s="3">
        <v>0</v>
      </c>
      <c r="V52" s="3">
        <f>SUM(Table2[[#This Row],[Occupational Therapist Hours]:[OT Aide Hours]])/Table2[[#This Row],[MDS Census]]</f>
        <v>0.14699687345729798</v>
      </c>
      <c r="W52" s="3">
        <v>5.8065555555555584</v>
      </c>
      <c r="X52" s="3">
        <v>4.7555555555555546</v>
      </c>
      <c r="Y52" s="3">
        <v>0</v>
      </c>
      <c r="Z52" s="3">
        <f>SUM(Table2[[#This Row],[Physical Therapist (PT) Hours]:[PT Aide Hours]])/Table2[[#This Row],[MDS Census]]</f>
        <v>0.15642422247819651</v>
      </c>
      <c r="AA52" s="3">
        <v>0</v>
      </c>
      <c r="AB52" s="3">
        <v>0</v>
      </c>
      <c r="AC52" s="3">
        <v>0</v>
      </c>
      <c r="AD52" s="3">
        <v>0</v>
      </c>
      <c r="AE52" s="3">
        <v>0</v>
      </c>
      <c r="AF52" s="3">
        <v>0</v>
      </c>
      <c r="AG52" s="3">
        <v>0</v>
      </c>
      <c r="AH52" s="1" t="s">
        <v>50</v>
      </c>
      <c r="AI52" s="17">
        <v>10</v>
      </c>
      <c r="AJ52" s="1"/>
    </row>
    <row r="53" spans="1:36" x14ac:dyDescent="0.2">
      <c r="A53" s="1" t="s">
        <v>128</v>
      </c>
      <c r="B53" s="1" t="s">
        <v>180</v>
      </c>
      <c r="C53" s="1" t="s">
        <v>298</v>
      </c>
      <c r="D53" s="1" t="s">
        <v>344</v>
      </c>
      <c r="E53" s="3">
        <v>40.388888888888886</v>
      </c>
      <c r="F53" s="3">
        <v>32.282999999999994</v>
      </c>
      <c r="G53" s="3">
        <v>0.31666666666666665</v>
      </c>
      <c r="H53" s="3">
        <v>0.18333333333333332</v>
      </c>
      <c r="I53" s="3">
        <v>1.1444444444444444</v>
      </c>
      <c r="J53" s="3">
        <v>0</v>
      </c>
      <c r="K53" s="3">
        <v>0</v>
      </c>
      <c r="L53" s="3">
        <v>0.44944444444444454</v>
      </c>
      <c r="M53" s="3">
        <v>5.2109999999999985</v>
      </c>
      <c r="N53" s="3">
        <v>0</v>
      </c>
      <c r="O53" s="3">
        <f>SUM(Table2[[#This Row],[Qualified Social Work Staff Hours]:[Other Social Work Staff Hours]])/Table2[[#This Row],[MDS Census]]</f>
        <v>0.12902063273727646</v>
      </c>
      <c r="P53" s="3">
        <v>3.9452222222222213</v>
      </c>
      <c r="Q53" s="3">
        <v>4.4778888888888888</v>
      </c>
      <c r="R53" s="3">
        <f>SUM(Table2[[#This Row],[Qualified Activities Professional Hours]:[Other Activities Professional Hours]])/Table2[[#This Row],[MDS Census]]</f>
        <v>0.20855020632737276</v>
      </c>
      <c r="S53" s="3">
        <v>9.696666666666669</v>
      </c>
      <c r="T53" s="3">
        <v>0.24300000000000002</v>
      </c>
      <c r="U53" s="3">
        <v>0</v>
      </c>
      <c r="V53" s="3">
        <f>SUM(Table2[[#This Row],[Occupational Therapist Hours]:[OT Aide Hours]])/Table2[[#This Row],[MDS Census]]</f>
        <v>0.2460990371389272</v>
      </c>
      <c r="W53" s="3">
        <v>7.9047777777777801</v>
      </c>
      <c r="X53" s="3">
        <v>3.4643333333333328</v>
      </c>
      <c r="Y53" s="3">
        <v>0</v>
      </c>
      <c r="Z53" s="3">
        <f>SUM(Table2[[#This Row],[Physical Therapist (PT) Hours]:[PT Aide Hours]])/Table2[[#This Row],[MDS Census]]</f>
        <v>0.28149105914718026</v>
      </c>
      <c r="AA53" s="3">
        <v>0</v>
      </c>
      <c r="AB53" s="3">
        <v>0</v>
      </c>
      <c r="AC53" s="3">
        <v>0</v>
      </c>
      <c r="AD53" s="3">
        <v>0</v>
      </c>
      <c r="AE53" s="3">
        <v>0</v>
      </c>
      <c r="AF53" s="3">
        <v>0</v>
      </c>
      <c r="AG53" s="3">
        <v>0</v>
      </c>
      <c r="AH53" s="1" t="s">
        <v>51</v>
      </c>
      <c r="AI53" s="17">
        <v>10</v>
      </c>
      <c r="AJ53" s="1"/>
    </row>
    <row r="54" spans="1:36" x14ac:dyDescent="0.2">
      <c r="A54" s="1" t="s">
        <v>128</v>
      </c>
      <c r="B54" s="1" t="s">
        <v>181</v>
      </c>
      <c r="C54" s="1" t="s">
        <v>282</v>
      </c>
      <c r="D54" s="1" t="s">
        <v>336</v>
      </c>
      <c r="E54" s="3">
        <v>23.511111111111113</v>
      </c>
      <c r="F54" s="3">
        <v>6.0444444444444443</v>
      </c>
      <c r="G54" s="3">
        <v>0</v>
      </c>
      <c r="H54" s="3">
        <v>0</v>
      </c>
      <c r="I54" s="3">
        <v>5.4444444444444446</v>
      </c>
      <c r="J54" s="3">
        <v>0</v>
      </c>
      <c r="K54" s="3">
        <v>0</v>
      </c>
      <c r="L54" s="3">
        <v>3.111111111111111E-2</v>
      </c>
      <c r="M54" s="3">
        <v>0</v>
      </c>
      <c r="N54" s="3">
        <v>0</v>
      </c>
      <c r="O54" s="3">
        <f>SUM(Table2[[#This Row],[Qualified Social Work Staff Hours]:[Other Social Work Staff Hours]])/Table2[[#This Row],[MDS Census]]</f>
        <v>0</v>
      </c>
      <c r="P54" s="3">
        <v>5.1194444444444445</v>
      </c>
      <c r="Q54" s="3">
        <v>0.36388888888888887</v>
      </c>
      <c r="R54" s="3">
        <f>SUM(Table2[[#This Row],[Qualified Activities Professional Hours]:[Other Activities Professional Hours]])/Table2[[#This Row],[MDS Census]]</f>
        <v>0.23322306238185253</v>
      </c>
      <c r="S54" s="3">
        <v>4.0262222222222226</v>
      </c>
      <c r="T54" s="3">
        <v>0</v>
      </c>
      <c r="U54" s="3">
        <v>0</v>
      </c>
      <c r="V54" s="3">
        <f>SUM(Table2[[#This Row],[Occupational Therapist Hours]:[OT Aide Hours]])/Table2[[#This Row],[MDS Census]]</f>
        <v>0.17124763705103971</v>
      </c>
      <c r="W54" s="3">
        <v>0.56911111111111101</v>
      </c>
      <c r="X54" s="3">
        <v>3.763444444444445</v>
      </c>
      <c r="Y54" s="3">
        <v>0</v>
      </c>
      <c r="Z54" s="3">
        <f>SUM(Table2[[#This Row],[Physical Therapist (PT) Hours]:[PT Aide Hours]])/Table2[[#This Row],[MDS Census]]</f>
        <v>0.18427693761814748</v>
      </c>
      <c r="AA54" s="3">
        <v>0</v>
      </c>
      <c r="AB54" s="3">
        <v>0</v>
      </c>
      <c r="AC54" s="3">
        <v>0</v>
      </c>
      <c r="AD54" s="3">
        <v>18.983333333333334</v>
      </c>
      <c r="AE54" s="3">
        <v>0</v>
      </c>
      <c r="AF54" s="3">
        <v>0</v>
      </c>
      <c r="AG54" s="3">
        <v>0</v>
      </c>
      <c r="AH54" s="1" t="s">
        <v>52</v>
      </c>
      <c r="AI54" s="17">
        <v>10</v>
      </c>
      <c r="AJ54" s="1"/>
    </row>
    <row r="55" spans="1:36" x14ac:dyDescent="0.2">
      <c r="A55" s="1" t="s">
        <v>128</v>
      </c>
      <c r="B55" s="1" t="s">
        <v>182</v>
      </c>
      <c r="C55" s="1" t="s">
        <v>299</v>
      </c>
      <c r="D55" s="1" t="s">
        <v>344</v>
      </c>
      <c r="E55" s="3">
        <v>41.966666666666669</v>
      </c>
      <c r="F55" s="3">
        <v>6.0444444444444443</v>
      </c>
      <c r="G55" s="3">
        <v>0.97777777777777775</v>
      </c>
      <c r="H55" s="3">
        <v>0.23333333333333334</v>
      </c>
      <c r="I55" s="3">
        <v>0.37777777777777777</v>
      </c>
      <c r="J55" s="3">
        <v>0</v>
      </c>
      <c r="K55" s="3">
        <v>0</v>
      </c>
      <c r="L55" s="3">
        <v>4.7925555555555581</v>
      </c>
      <c r="M55" s="3">
        <v>8.0916666666666668</v>
      </c>
      <c r="N55" s="3">
        <v>0</v>
      </c>
      <c r="O55" s="3">
        <f>SUM(Table2[[#This Row],[Qualified Social Work Staff Hours]:[Other Social Work Staff Hours]])/Table2[[#This Row],[MDS Census]]</f>
        <v>0.19281175536139794</v>
      </c>
      <c r="P55" s="3">
        <v>5.2666666666666666</v>
      </c>
      <c r="Q55" s="3">
        <v>0</v>
      </c>
      <c r="R55" s="3">
        <f>SUM(Table2[[#This Row],[Qualified Activities Professional Hours]:[Other Activities Professional Hours]])/Table2[[#This Row],[MDS Census]]</f>
        <v>0.12549642573471009</v>
      </c>
      <c r="S55" s="3">
        <v>8.2752222222222205</v>
      </c>
      <c r="T55" s="3">
        <v>3.2532222222222225</v>
      </c>
      <c r="U55" s="3">
        <v>0</v>
      </c>
      <c r="V55" s="3">
        <f>SUM(Table2[[#This Row],[Occupational Therapist Hours]:[OT Aide Hours]])/Table2[[#This Row],[MDS Census]]</f>
        <v>0.27470479216309235</v>
      </c>
      <c r="W55" s="3">
        <v>4.7286666666666655</v>
      </c>
      <c r="X55" s="3">
        <v>4.371777777777778</v>
      </c>
      <c r="Y55" s="3">
        <v>0</v>
      </c>
      <c r="Z55" s="3">
        <f>SUM(Table2[[#This Row],[Physical Therapist (PT) Hours]:[PT Aide Hours]])/Table2[[#This Row],[MDS Census]]</f>
        <v>0.21684935133703995</v>
      </c>
      <c r="AA55" s="3">
        <v>0</v>
      </c>
      <c r="AB55" s="3">
        <v>0</v>
      </c>
      <c r="AC55" s="3">
        <v>0</v>
      </c>
      <c r="AD55" s="3">
        <v>0</v>
      </c>
      <c r="AE55" s="3">
        <v>0</v>
      </c>
      <c r="AF55" s="3">
        <v>0</v>
      </c>
      <c r="AG55" s="3">
        <v>0</v>
      </c>
      <c r="AH55" s="1" t="s">
        <v>53</v>
      </c>
      <c r="AI55" s="17">
        <v>10</v>
      </c>
      <c r="AJ55" s="1"/>
    </row>
    <row r="56" spans="1:36" x14ac:dyDescent="0.2">
      <c r="A56" s="1" t="s">
        <v>128</v>
      </c>
      <c r="B56" s="1" t="s">
        <v>183</v>
      </c>
      <c r="C56" s="1" t="s">
        <v>300</v>
      </c>
      <c r="D56" s="1" t="s">
        <v>320</v>
      </c>
      <c r="E56" s="3">
        <v>15.466666666666667</v>
      </c>
      <c r="F56" s="3">
        <v>0</v>
      </c>
      <c r="G56" s="3">
        <v>0</v>
      </c>
      <c r="H56" s="3">
        <v>0</v>
      </c>
      <c r="I56" s="3">
        <v>0</v>
      </c>
      <c r="J56" s="3">
        <v>0</v>
      </c>
      <c r="K56" s="3">
        <v>0</v>
      </c>
      <c r="L56" s="3">
        <v>4.855555555555556E-2</v>
      </c>
      <c r="M56" s="3">
        <v>0</v>
      </c>
      <c r="N56" s="3">
        <v>0</v>
      </c>
      <c r="O56" s="3">
        <f>SUM(Table2[[#This Row],[Qualified Social Work Staff Hours]:[Other Social Work Staff Hours]])/Table2[[#This Row],[MDS Census]]</f>
        <v>0</v>
      </c>
      <c r="P56" s="3">
        <v>0</v>
      </c>
      <c r="Q56" s="3">
        <v>0</v>
      </c>
      <c r="R56" s="3">
        <f>SUM(Table2[[#This Row],[Qualified Activities Professional Hours]:[Other Activities Professional Hours]])/Table2[[#This Row],[MDS Census]]</f>
        <v>0</v>
      </c>
      <c r="S56" s="3">
        <v>3.6999999999999998E-2</v>
      </c>
      <c r="T56" s="3">
        <v>2.5111111111111108E-2</v>
      </c>
      <c r="U56" s="3">
        <v>0</v>
      </c>
      <c r="V56" s="3">
        <f>SUM(Table2[[#This Row],[Occupational Therapist Hours]:[OT Aide Hours]])/Table2[[#This Row],[MDS Census]]</f>
        <v>4.0158045977011485E-3</v>
      </c>
      <c r="W56" s="3">
        <v>0.17011111111111105</v>
      </c>
      <c r="X56" s="3">
        <v>1.4424444444444444</v>
      </c>
      <c r="Y56" s="3">
        <v>0</v>
      </c>
      <c r="Z56" s="3">
        <f>SUM(Table2[[#This Row],[Physical Therapist (PT) Hours]:[PT Aide Hours]])/Table2[[#This Row],[MDS Census]]</f>
        <v>0.10426005747126436</v>
      </c>
      <c r="AA56" s="3">
        <v>0</v>
      </c>
      <c r="AB56" s="3">
        <v>1.1677777777777778</v>
      </c>
      <c r="AC56" s="3">
        <v>0</v>
      </c>
      <c r="AD56" s="3">
        <v>0</v>
      </c>
      <c r="AE56" s="3">
        <v>0</v>
      </c>
      <c r="AF56" s="3">
        <v>0</v>
      </c>
      <c r="AG56" s="3">
        <v>0</v>
      </c>
      <c r="AH56" s="1" t="s">
        <v>54</v>
      </c>
      <c r="AI56" s="17">
        <v>10</v>
      </c>
      <c r="AJ56" s="1"/>
    </row>
    <row r="57" spans="1:36" x14ac:dyDescent="0.2">
      <c r="A57" s="1" t="s">
        <v>128</v>
      </c>
      <c r="B57" s="1" t="s">
        <v>184</v>
      </c>
      <c r="C57" s="1" t="s">
        <v>301</v>
      </c>
      <c r="D57" s="1" t="s">
        <v>335</v>
      </c>
      <c r="E57" s="3">
        <v>44.088888888888889</v>
      </c>
      <c r="F57" s="3">
        <v>4.7722222222222221</v>
      </c>
      <c r="G57" s="3">
        <v>0</v>
      </c>
      <c r="H57" s="3">
        <v>0</v>
      </c>
      <c r="I57" s="3">
        <v>1.1111111111111112</v>
      </c>
      <c r="J57" s="3">
        <v>0</v>
      </c>
      <c r="K57" s="3">
        <v>0</v>
      </c>
      <c r="L57" s="3">
        <v>1.7278888888888881</v>
      </c>
      <c r="M57" s="3">
        <v>5.4043333333333345</v>
      </c>
      <c r="N57" s="3">
        <v>0</v>
      </c>
      <c r="O57" s="3">
        <f>SUM(Table2[[#This Row],[Qualified Social Work Staff Hours]:[Other Social Work Staff Hours]])/Table2[[#This Row],[MDS Census]]</f>
        <v>0.12257812500000002</v>
      </c>
      <c r="P57" s="3">
        <v>4.4462222222222216</v>
      </c>
      <c r="Q57" s="3">
        <v>4.1281111111111111</v>
      </c>
      <c r="R57" s="3">
        <f>SUM(Table2[[#This Row],[Qualified Activities Professional Hours]:[Other Activities Professional Hours]])/Table2[[#This Row],[MDS Census]]</f>
        <v>0.19447832661290318</v>
      </c>
      <c r="S57" s="3">
        <v>2.062444444444445</v>
      </c>
      <c r="T57" s="3">
        <v>2.1742222222222223</v>
      </c>
      <c r="U57" s="3">
        <v>0</v>
      </c>
      <c r="V57" s="3">
        <f>SUM(Table2[[#This Row],[Occupational Therapist Hours]:[OT Aide Hours]])/Table2[[#This Row],[MDS Census]]</f>
        <v>9.6093750000000019E-2</v>
      </c>
      <c r="W57" s="3">
        <v>2.6962222222222221</v>
      </c>
      <c r="X57" s="3">
        <v>5.3042222222222231</v>
      </c>
      <c r="Y57" s="3">
        <v>0</v>
      </c>
      <c r="Z57" s="3">
        <f>SUM(Table2[[#This Row],[Physical Therapist (PT) Hours]:[PT Aide Hours]])/Table2[[#This Row],[MDS Census]]</f>
        <v>0.18146169354838712</v>
      </c>
      <c r="AA57" s="3">
        <v>0</v>
      </c>
      <c r="AB57" s="3">
        <v>0</v>
      </c>
      <c r="AC57" s="3">
        <v>0</v>
      </c>
      <c r="AD57" s="3">
        <v>0</v>
      </c>
      <c r="AE57" s="3">
        <v>0</v>
      </c>
      <c r="AF57" s="3">
        <v>0</v>
      </c>
      <c r="AG57" s="3">
        <v>0</v>
      </c>
      <c r="AH57" s="1" t="s">
        <v>55</v>
      </c>
      <c r="AI57" s="17">
        <v>10</v>
      </c>
      <c r="AJ57" s="1"/>
    </row>
    <row r="58" spans="1:36" x14ac:dyDescent="0.2">
      <c r="A58" s="1" t="s">
        <v>128</v>
      </c>
      <c r="B58" s="1" t="s">
        <v>185</v>
      </c>
      <c r="C58" s="1" t="s">
        <v>263</v>
      </c>
      <c r="D58" s="1" t="s">
        <v>334</v>
      </c>
      <c r="E58" s="3">
        <v>56.944444444444443</v>
      </c>
      <c r="F58" s="3">
        <v>6.0777777777777775</v>
      </c>
      <c r="G58" s="3">
        <v>1.1555555555555554</v>
      </c>
      <c r="H58" s="3">
        <v>0.26111111111111113</v>
      </c>
      <c r="I58" s="3">
        <v>0.16666666666666666</v>
      </c>
      <c r="J58" s="3">
        <v>0</v>
      </c>
      <c r="K58" s="3">
        <v>0</v>
      </c>
      <c r="L58" s="3">
        <v>2.7119999999999993</v>
      </c>
      <c r="M58" s="3">
        <v>10.525</v>
      </c>
      <c r="N58" s="3">
        <v>0</v>
      </c>
      <c r="O58" s="3">
        <f>SUM(Table2[[#This Row],[Qualified Social Work Staff Hours]:[Other Social Work Staff Hours]])/Table2[[#This Row],[MDS Census]]</f>
        <v>0.18482926829268292</v>
      </c>
      <c r="P58" s="3">
        <v>3.9055555555555554</v>
      </c>
      <c r="Q58" s="3">
        <v>9.0083333333333329</v>
      </c>
      <c r="R58" s="3">
        <f>SUM(Table2[[#This Row],[Qualified Activities Professional Hours]:[Other Activities Professional Hours]])/Table2[[#This Row],[MDS Census]]</f>
        <v>0.22678048780487803</v>
      </c>
      <c r="S58" s="3">
        <v>8.7728888888888861</v>
      </c>
      <c r="T58" s="3">
        <v>3.4078888888888881</v>
      </c>
      <c r="U58" s="3">
        <v>0</v>
      </c>
      <c r="V58" s="3">
        <f>SUM(Table2[[#This Row],[Occupational Therapist Hours]:[OT Aide Hours]])/Table2[[#This Row],[MDS Census]]</f>
        <v>0.21390634146341456</v>
      </c>
      <c r="W58" s="3">
        <v>9.4744444444444422</v>
      </c>
      <c r="X58" s="3">
        <v>7.4253333333333327</v>
      </c>
      <c r="Y58" s="3">
        <v>0</v>
      </c>
      <c r="Z58" s="3">
        <f>SUM(Table2[[#This Row],[Physical Therapist (PT) Hours]:[PT Aide Hours]])/Table2[[#This Row],[MDS Census]]</f>
        <v>0.29677658536585361</v>
      </c>
      <c r="AA58" s="3">
        <v>0</v>
      </c>
      <c r="AB58" s="3">
        <v>0</v>
      </c>
      <c r="AC58" s="3">
        <v>0</v>
      </c>
      <c r="AD58" s="3">
        <v>0</v>
      </c>
      <c r="AE58" s="3">
        <v>0</v>
      </c>
      <c r="AF58" s="3">
        <v>0</v>
      </c>
      <c r="AG58" s="3">
        <v>0</v>
      </c>
      <c r="AH58" s="1" t="s">
        <v>56</v>
      </c>
      <c r="AI58" s="17">
        <v>10</v>
      </c>
      <c r="AJ58" s="1"/>
    </row>
    <row r="59" spans="1:36" x14ac:dyDescent="0.2">
      <c r="A59" s="1" t="s">
        <v>128</v>
      </c>
      <c r="B59" s="1" t="s">
        <v>186</v>
      </c>
      <c r="C59" s="1" t="s">
        <v>281</v>
      </c>
      <c r="D59" s="1" t="s">
        <v>335</v>
      </c>
      <c r="E59" s="3">
        <v>92.766666666666666</v>
      </c>
      <c r="F59" s="3">
        <v>5.6888888888888891</v>
      </c>
      <c r="G59" s="3">
        <v>1.1555555555555554</v>
      </c>
      <c r="H59" s="3">
        <v>0</v>
      </c>
      <c r="I59" s="3">
        <v>0</v>
      </c>
      <c r="J59" s="3">
        <v>0</v>
      </c>
      <c r="K59" s="3">
        <v>0</v>
      </c>
      <c r="L59" s="3">
        <v>9.79233333333333</v>
      </c>
      <c r="M59" s="3">
        <v>10.377777777777778</v>
      </c>
      <c r="N59" s="3">
        <v>0</v>
      </c>
      <c r="O59" s="3">
        <f>SUM(Table2[[#This Row],[Qualified Social Work Staff Hours]:[Other Social Work Staff Hours]])/Table2[[#This Row],[MDS Census]]</f>
        <v>0.11186968499221464</v>
      </c>
      <c r="P59" s="3">
        <v>4.3416666666666668</v>
      </c>
      <c r="Q59" s="3">
        <v>4.8277777777777775</v>
      </c>
      <c r="R59" s="3">
        <f>SUM(Table2[[#This Row],[Qualified Activities Professional Hours]:[Other Activities Professional Hours]])/Table2[[#This Row],[MDS Census]]</f>
        <v>9.8844172954844892E-2</v>
      </c>
      <c r="S59" s="3">
        <v>10.421777777777779</v>
      </c>
      <c r="T59" s="3">
        <v>9.7727777777777813</v>
      </c>
      <c r="U59" s="3">
        <v>0</v>
      </c>
      <c r="V59" s="3">
        <f>SUM(Table2[[#This Row],[Occupational Therapist Hours]:[OT Aide Hours]])/Table2[[#This Row],[MDS Census]]</f>
        <v>0.21769193915438981</v>
      </c>
      <c r="W59" s="3">
        <v>9.1248888888888899</v>
      </c>
      <c r="X59" s="3">
        <v>14.128000000000002</v>
      </c>
      <c r="Y59" s="3">
        <v>0</v>
      </c>
      <c r="Z59" s="3">
        <f>SUM(Table2[[#This Row],[Physical Therapist (PT) Hours]:[PT Aide Hours]])/Table2[[#This Row],[MDS Census]]</f>
        <v>0.2506599592765601</v>
      </c>
      <c r="AA59" s="3">
        <v>0</v>
      </c>
      <c r="AB59" s="3">
        <v>0</v>
      </c>
      <c r="AC59" s="3">
        <v>0</v>
      </c>
      <c r="AD59" s="3">
        <v>0</v>
      </c>
      <c r="AE59" s="3">
        <v>0</v>
      </c>
      <c r="AF59" s="3">
        <v>0</v>
      </c>
      <c r="AG59" s="3">
        <v>0</v>
      </c>
      <c r="AH59" s="1" t="s">
        <v>57</v>
      </c>
      <c r="AI59" s="17">
        <v>10</v>
      </c>
      <c r="AJ59" s="1"/>
    </row>
    <row r="60" spans="1:36" x14ac:dyDescent="0.2">
      <c r="A60" s="1" t="s">
        <v>128</v>
      </c>
      <c r="B60" s="1" t="s">
        <v>187</v>
      </c>
      <c r="C60" s="1" t="s">
        <v>263</v>
      </c>
      <c r="D60" s="1" t="s">
        <v>334</v>
      </c>
      <c r="E60" s="3">
        <v>46.2</v>
      </c>
      <c r="F60" s="3">
        <v>10.244444444444444</v>
      </c>
      <c r="G60" s="3">
        <v>0</v>
      </c>
      <c r="H60" s="3">
        <v>0.27500000000000002</v>
      </c>
      <c r="I60" s="3">
        <v>2.1944444444444446</v>
      </c>
      <c r="J60" s="3">
        <v>0</v>
      </c>
      <c r="K60" s="3">
        <v>0</v>
      </c>
      <c r="L60" s="3">
        <v>5.1992222222222226</v>
      </c>
      <c r="M60" s="3">
        <v>6.4423333333333357</v>
      </c>
      <c r="N60" s="3">
        <v>0</v>
      </c>
      <c r="O60" s="3">
        <f>SUM(Table2[[#This Row],[Qualified Social Work Staff Hours]:[Other Social Work Staff Hours]])/Table2[[#This Row],[MDS Census]]</f>
        <v>0.13944444444444448</v>
      </c>
      <c r="P60" s="3">
        <v>5.4231111111111119</v>
      </c>
      <c r="Q60" s="3">
        <v>0.44611111111111107</v>
      </c>
      <c r="R60" s="3">
        <f>SUM(Table2[[#This Row],[Qualified Activities Professional Hours]:[Other Activities Professional Hours]])/Table2[[#This Row],[MDS Census]]</f>
        <v>0.12703944203944204</v>
      </c>
      <c r="S60" s="3">
        <v>5.5621111111111112</v>
      </c>
      <c r="T60" s="3">
        <v>4.8374444444444453</v>
      </c>
      <c r="U60" s="3">
        <v>0</v>
      </c>
      <c r="V60" s="3">
        <f>SUM(Table2[[#This Row],[Occupational Therapist Hours]:[OT Aide Hours]])/Table2[[#This Row],[MDS Census]]</f>
        <v>0.2250986050986051</v>
      </c>
      <c r="W60" s="3">
        <v>10.270111111111113</v>
      </c>
      <c r="X60" s="3">
        <v>3.5903333333333332</v>
      </c>
      <c r="Y60" s="3">
        <v>0</v>
      </c>
      <c r="Z60" s="3">
        <f>SUM(Table2[[#This Row],[Physical Therapist (PT) Hours]:[PT Aide Hours]])/Table2[[#This Row],[MDS Census]]</f>
        <v>0.30000962000962006</v>
      </c>
      <c r="AA60" s="3">
        <v>0</v>
      </c>
      <c r="AB60" s="3">
        <v>0</v>
      </c>
      <c r="AC60" s="3">
        <v>0</v>
      </c>
      <c r="AD60" s="3">
        <v>0</v>
      </c>
      <c r="AE60" s="3">
        <v>0</v>
      </c>
      <c r="AF60" s="3">
        <v>0</v>
      </c>
      <c r="AG60" s="3">
        <v>0</v>
      </c>
      <c r="AH60" s="1" t="s">
        <v>58</v>
      </c>
      <c r="AI60" s="17">
        <v>10</v>
      </c>
      <c r="AJ60" s="1"/>
    </row>
    <row r="61" spans="1:36" x14ac:dyDescent="0.2">
      <c r="A61" s="1" t="s">
        <v>128</v>
      </c>
      <c r="B61" s="1" t="s">
        <v>188</v>
      </c>
      <c r="C61" s="1" t="s">
        <v>270</v>
      </c>
      <c r="D61" s="1" t="s">
        <v>328</v>
      </c>
      <c r="E61" s="3">
        <v>35.088888888888889</v>
      </c>
      <c r="F61" s="3">
        <v>10.28888888888889</v>
      </c>
      <c r="G61" s="3">
        <v>0</v>
      </c>
      <c r="H61" s="3">
        <v>0</v>
      </c>
      <c r="I61" s="3">
        <v>3.9527777777777779</v>
      </c>
      <c r="J61" s="3">
        <v>0</v>
      </c>
      <c r="K61" s="3">
        <v>0</v>
      </c>
      <c r="L61" s="3">
        <v>0.511777777777778</v>
      </c>
      <c r="M61" s="3">
        <v>5.1722222222222225</v>
      </c>
      <c r="N61" s="3">
        <v>0</v>
      </c>
      <c r="O61" s="3">
        <f>SUM(Table2[[#This Row],[Qualified Social Work Staff Hours]:[Other Social Work Staff Hours]])/Table2[[#This Row],[MDS Census]]</f>
        <v>0.14740341988600381</v>
      </c>
      <c r="P61" s="3">
        <v>4.7805555555555559</v>
      </c>
      <c r="Q61" s="3">
        <v>0</v>
      </c>
      <c r="R61" s="3">
        <f>SUM(Table2[[#This Row],[Qualified Activities Professional Hours]:[Other Activities Professional Hours]])/Table2[[#This Row],[MDS Census]]</f>
        <v>0.13624129195693477</v>
      </c>
      <c r="S61" s="3">
        <v>1.9517777777777783</v>
      </c>
      <c r="T61" s="3">
        <v>2.5000000000000001E-2</v>
      </c>
      <c r="U61" s="3">
        <v>0</v>
      </c>
      <c r="V61" s="3">
        <f>SUM(Table2[[#This Row],[Occupational Therapist Hours]:[OT Aide Hours]])/Table2[[#This Row],[MDS Census]]</f>
        <v>5.6336288790373668E-2</v>
      </c>
      <c r="W61" s="3">
        <v>0.9808888888888887</v>
      </c>
      <c r="X61" s="3">
        <v>5.5373333333333337</v>
      </c>
      <c r="Y61" s="3">
        <v>0</v>
      </c>
      <c r="Z61" s="3">
        <f>SUM(Table2[[#This Row],[Physical Therapist (PT) Hours]:[PT Aide Hours]])/Table2[[#This Row],[MDS Census]]</f>
        <v>0.18576314122862572</v>
      </c>
      <c r="AA61" s="3">
        <v>0</v>
      </c>
      <c r="AB61" s="3">
        <v>0</v>
      </c>
      <c r="AC61" s="3">
        <v>0</v>
      </c>
      <c r="AD61" s="3">
        <v>22.222222222222221</v>
      </c>
      <c r="AE61" s="3">
        <v>0</v>
      </c>
      <c r="AF61" s="3">
        <v>0</v>
      </c>
      <c r="AG61" s="3">
        <v>0</v>
      </c>
      <c r="AH61" s="1" t="s">
        <v>59</v>
      </c>
      <c r="AI61" s="17">
        <v>10</v>
      </c>
      <c r="AJ61" s="1"/>
    </row>
    <row r="62" spans="1:36" x14ac:dyDescent="0.2">
      <c r="A62" s="1" t="s">
        <v>128</v>
      </c>
      <c r="B62" s="1" t="s">
        <v>189</v>
      </c>
      <c r="C62" s="1" t="s">
        <v>259</v>
      </c>
      <c r="D62" s="1" t="s">
        <v>322</v>
      </c>
      <c r="E62" s="3">
        <v>71.577777777777783</v>
      </c>
      <c r="F62" s="3">
        <v>5.6</v>
      </c>
      <c r="G62" s="3">
        <v>0.67777777777777781</v>
      </c>
      <c r="H62" s="3">
        <v>0.37222222222222223</v>
      </c>
      <c r="I62" s="3">
        <v>2.3111111111111109</v>
      </c>
      <c r="J62" s="3">
        <v>0</v>
      </c>
      <c r="K62" s="3">
        <v>0</v>
      </c>
      <c r="L62" s="3">
        <v>1.935555555555555</v>
      </c>
      <c r="M62" s="3">
        <v>11.533333333333333</v>
      </c>
      <c r="N62" s="3">
        <v>0</v>
      </c>
      <c r="O62" s="3">
        <f>SUM(Table2[[#This Row],[Qualified Social Work Staff Hours]:[Other Social Work Staff Hours]])/Table2[[#This Row],[MDS Census]]</f>
        <v>0.16113008382489907</v>
      </c>
      <c r="P62" s="3">
        <v>5.25</v>
      </c>
      <c r="Q62" s="3">
        <v>5.8138888888888891</v>
      </c>
      <c r="R62" s="3">
        <f>SUM(Table2[[#This Row],[Qualified Activities Professional Hours]:[Other Activities Professional Hours]])/Table2[[#This Row],[MDS Census]]</f>
        <v>0.15457156162682398</v>
      </c>
      <c r="S62" s="3">
        <v>3.6745555555555551</v>
      </c>
      <c r="T62" s="3">
        <v>3.5354444444444444</v>
      </c>
      <c r="U62" s="3">
        <v>0</v>
      </c>
      <c r="V62" s="3">
        <f>SUM(Table2[[#This Row],[Occupational Therapist Hours]:[OT Aide Hours]])/Table2[[#This Row],[MDS Census]]</f>
        <v>0.10072958708475627</v>
      </c>
      <c r="W62" s="3">
        <v>4.3865555555555558</v>
      </c>
      <c r="X62" s="3">
        <v>10.388333333333334</v>
      </c>
      <c r="Y62" s="3">
        <v>0</v>
      </c>
      <c r="Z62" s="3">
        <f>SUM(Table2[[#This Row],[Physical Therapist (PT) Hours]:[PT Aide Hours]])/Table2[[#This Row],[MDS Census]]</f>
        <v>0.20641726171996272</v>
      </c>
      <c r="AA62" s="3">
        <v>0</v>
      </c>
      <c r="AB62" s="3">
        <v>0</v>
      </c>
      <c r="AC62" s="3">
        <v>0</v>
      </c>
      <c r="AD62" s="3">
        <v>0</v>
      </c>
      <c r="AE62" s="3">
        <v>0</v>
      </c>
      <c r="AF62" s="3">
        <v>0</v>
      </c>
      <c r="AG62" s="3">
        <v>0</v>
      </c>
      <c r="AH62" s="1" t="s">
        <v>60</v>
      </c>
      <c r="AI62" s="17">
        <v>10</v>
      </c>
      <c r="AJ62" s="1"/>
    </row>
    <row r="63" spans="1:36" x14ac:dyDescent="0.2">
      <c r="A63" s="1" t="s">
        <v>128</v>
      </c>
      <c r="B63" s="1" t="s">
        <v>190</v>
      </c>
      <c r="C63" s="1" t="s">
        <v>279</v>
      </c>
      <c r="D63" s="1" t="s">
        <v>334</v>
      </c>
      <c r="E63" s="3">
        <v>49.022222222222226</v>
      </c>
      <c r="F63" s="3">
        <v>5.6888888888888891</v>
      </c>
      <c r="G63" s="3">
        <v>1.1555555555555554</v>
      </c>
      <c r="H63" s="3">
        <v>0</v>
      </c>
      <c r="I63" s="3">
        <v>1.1555555555555554</v>
      </c>
      <c r="J63" s="3">
        <v>3.3777777777777778</v>
      </c>
      <c r="K63" s="3">
        <v>0</v>
      </c>
      <c r="L63" s="3">
        <v>1.1587777777777779</v>
      </c>
      <c r="M63" s="3">
        <v>4.822222222222222</v>
      </c>
      <c r="N63" s="3">
        <v>0</v>
      </c>
      <c r="O63" s="3">
        <f>SUM(Table2[[#This Row],[Qualified Social Work Staff Hours]:[Other Social Work Staff Hours]])/Table2[[#This Row],[MDS Census]]</f>
        <v>9.8368087035358098E-2</v>
      </c>
      <c r="P63" s="3">
        <v>4.708333333333333</v>
      </c>
      <c r="Q63" s="3">
        <v>0</v>
      </c>
      <c r="R63" s="3">
        <f>SUM(Table2[[#This Row],[Qualified Activities Professional Hours]:[Other Activities Professional Hours]])/Table2[[#This Row],[MDS Census]]</f>
        <v>9.6044877606527634E-2</v>
      </c>
      <c r="S63" s="3">
        <v>4.2088888888888896</v>
      </c>
      <c r="T63" s="3">
        <v>1.5874444444444449</v>
      </c>
      <c r="U63" s="3">
        <v>0</v>
      </c>
      <c r="V63" s="3">
        <f>SUM(Table2[[#This Row],[Occupational Therapist Hours]:[OT Aide Hours]])/Table2[[#This Row],[MDS Census]]</f>
        <v>0.11823889392565733</v>
      </c>
      <c r="W63" s="3">
        <v>4.8905555555555562</v>
      </c>
      <c r="X63" s="3">
        <v>4.8014444444444448</v>
      </c>
      <c r="Y63" s="3">
        <v>0</v>
      </c>
      <c r="Z63" s="3">
        <f>SUM(Table2[[#This Row],[Physical Therapist (PT) Hours]:[PT Aide Hours]])/Table2[[#This Row],[MDS Census]]</f>
        <v>0.19770625566636446</v>
      </c>
      <c r="AA63" s="3">
        <v>0</v>
      </c>
      <c r="AB63" s="3">
        <v>0</v>
      </c>
      <c r="AC63" s="3">
        <v>0</v>
      </c>
      <c r="AD63" s="3">
        <v>0</v>
      </c>
      <c r="AE63" s="3">
        <v>0</v>
      </c>
      <c r="AF63" s="3">
        <v>0</v>
      </c>
      <c r="AG63" s="3">
        <v>0</v>
      </c>
      <c r="AH63" s="1" t="s">
        <v>61</v>
      </c>
      <c r="AI63" s="17">
        <v>10</v>
      </c>
      <c r="AJ63" s="1"/>
    </row>
    <row r="64" spans="1:36" x14ac:dyDescent="0.2">
      <c r="A64" s="1" t="s">
        <v>128</v>
      </c>
      <c r="B64" s="1" t="s">
        <v>191</v>
      </c>
      <c r="C64" s="1" t="s">
        <v>297</v>
      </c>
      <c r="D64" s="1" t="s">
        <v>321</v>
      </c>
      <c r="E64" s="3">
        <v>77.855555555555554</v>
      </c>
      <c r="F64" s="3">
        <v>5.5111111111111111</v>
      </c>
      <c r="G64" s="3">
        <v>0.31111111111111112</v>
      </c>
      <c r="H64" s="3">
        <v>0.1</v>
      </c>
      <c r="I64" s="3">
        <v>2.7555555555555555</v>
      </c>
      <c r="J64" s="3">
        <v>1.6277777777777778</v>
      </c>
      <c r="K64" s="3">
        <v>0</v>
      </c>
      <c r="L64" s="3">
        <v>8.141444444444442</v>
      </c>
      <c r="M64" s="3">
        <v>5.6</v>
      </c>
      <c r="N64" s="3">
        <v>3.6555555555555554</v>
      </c>
      <c r="O64" s="3">
        <f>SUM(Table2[[#This Row],[Qualified Social Work Staff Hours]:[Other Social Work Staff Hours]])/Table2[[#This Row],[MDS Census]]</f>
        <v>0.11888111888111887</v>
      </c>
      <c r="P64" s="3">
        <v>5.2861111111111114</v>
      </c>
      <c r="Q64" s="3">
        <v>0</v>
      </c>
      <c r="R64" s="3">
        <f>SUM(Table2[[#This Row],[Qualified Activities Professional Hours]:[Other Activities Professional Hours]])/Table2[[#This Row],[MDS Census]]</f>
        <v>6.7896389324960754E-2</v>
      </c>
      <c r="S64" s="3">
        <v>7.8973333333333349</v>
      </c>
      <c r="T64" s="3">
        <v>7.6445555555555567</v>
      </c>
      <c r="U64" s="3">
        <v>0</v>
      </c>
      <c r="V64" s="3">
        <f>SUM(Table2[[#This Row],[Occupational Therapist Hours]:[OT Aide Hours]])/Table2[[#This Row],[MDS Census]]</f>
        <v>0.19962466105323251</v>
      </c>
      <c r="W64" s="3">
        <v>8.9830000000000041</v>
      </c>
      <c r="X64" s="3">
        <v>9.2569999999999997</v>
      </c>
      <c r="Y64" s="3">
        <v>0</v>
      </c>
      <c r="Z64" s="3">
        <f>SUM(Table2[[#This Row],[Physical Therapist (PT) Hours]:[PT Aide Hours]])/Table2[[#This Row],[MDS Census]]</f>
        <v>0.23428000570857715</v>
      </c>
      <c r="AA64" s="3">
        <v>0</v>
      </c>
      <c r="AB64" s="3">
        <v>0</v>
      </c>
      <c r="AC64" s="3">
        <v>0</v>
      </c>
      <c r="AD64" s="3">
        <v>0</v>
      </c>
      <c r="AE64" s="3">
        <v>0</v>
      </c>
      <c r="AF64" s="3">
        <v>0</v>
      </c>
      <c r="AG64" s="3">
        <v>0</v>
      </c>
      <c r="AH64" s="1" t="s">
        <v>62</v>
      </c>
      <c r="AI64" s="17">
        <v>10</v>
      </c>
      <c r="AJ64" s="1"/>
    </row>
    <row r="65" spans="1:36" x14ac:dyDescent="0.2">
      <c r="A65" s="1" t="s">
        <v>128</v>
      </c>
      <c r="B65" s="1" t="s">
        <v>192</v>
      </c>
      <c r="C65" s="1" t="s">
        <v>258</v>
      </c>
      <c r="D65" s="1" t="s">
        <v>319</v>
      </c>
      <c r="E65" s="3">
        <v>45.31111111111111</v>
      </c>
      <c r="F65" s="3">
        <v>5.5277777777777777</v>
      </c>
      <c r="G65" s="3">
        <v>0</v>
      </c>
      <c r="H65" s="3">
        <v>0</v>
      </c>
      <c r="I65" s="3">
        <v>2.3162222222222222</v>
      </c>
      <c r="J65" s="3">
        <v>0</v>
      </c>
      <c r="K65" s="3">
        <v>0</v>
      </c>
      <c r="L65" s="3">
        <v>5.0038888888888904</v>
      </c>
      <c r="M65" s="3">
        <v>10.966666666666669</v>
      </c>
      <c r="N65" s="3">
        <v>0</v>
      </c>
      <c r="O65" s="3">
        <f>SUM(Table2[[#This Row],[Qualified Social Work Staff Hours]:[Other Social Work Staff Hours]])/Table2[[#This Row],[MDS Census]]</f>
        <v>0.24203040706228549</v>
      </c>
      <c r="P65" s="3">
        <v>5.6916666666666664</v>
      </c>
      <c r="Q65" s="3">
        <v>1.538888888888889</v>
      </c>
      <c r="R65" s="3">
        <f>SUM(Table2[[#This Row],[Qualified Activities Professional Hours]:[Other Activities Professional Hours]])/Table2[[#This Row],[MDS Census]]</f>
        <v>0.15957577243746934</v>
      </c>
      <c r="S65" s="3">
        <v>17.588111111111111</v>
      </c>
      <c r="T65" s="3">
        <v>4.0714444444444453</v>
      </c>
      <c r="U65" s="3">
        <v>0</v>
      </c>
      <c r="V65" s="3">
        <f>SUM(Table2[[#This Row],[Occupational Therapist Hours]:[OT Aide Hours]])/Table2[[#This Row],[MDS Census]]</f>
        <v>0.47801863658656207</v>
      </c>
      <c r="W65" s="3">
        <v>10.103666666666669</v>
      </c>
      <c r="X65" s="3">
        <v>7.9789999999999992</v>
      </c>
      <c r="Y65" s="3">
        <v>0</v>
      </c>
      <c r="Z65" s="3">
        <f>SUM(Table2[[#This Row],[Physical Therapist (PT) Hours]:[PT Aide Hours]])/Table2[[#This Row],[MDS Census]]</f>
        <v>0.3990779794016675</v>
      </c>
      <c r="AA65" s="3">
        <v>0</v>
      </c>
      <c r="AB65" s="3">
        <v>0</v>
      </c>
      <c r="AC65" s="3">
        <v>0</v>
      </c>
      <c r="AD65" s="3">
        <v>0</v>
      </c>
      <c r="AE65" s="3">
        <v>0</v>
      </c>
      <c r="AF65" s="3">
        <v>0</v>
      </c>
      <c r="AG65" s="3">
        <v>0</v>
      </c>
      <c r="AH65" s="1" t="s">
        <v>63</v>
      </c>
      <c r="AI65" s="17">
        <v>10</v>
      </c>
      <c r="AJ65" s="1"/>
    </row>
    <row r="66" spans="1:36" x14ac:dyDescent="0.2">
      <c r="A66" s="1" t="s">
        <v>128</v>
      </c>
      <c r="B66" s="1" t="s">
        <v>193</v>
      </c>
      <c r="C66" s="1" t="s">
        <v>299</v>
      </c>
      <c r="D66" s="1" t="s">
        <v>344</v>
      </c>
      <c r="E66" s="3">
        <v>39.955555555555556</v>
      </c>
      <c r="F66" s="3">
        <v>5.5277777777777777</v>
      </c>
      <c r="G66" s="3">
        <v>0.1</v>
      </c>
      <c r="H66" s="3">
        <v>0</v>
      </c>
      <c r="I66" s="3">
        <v>1.2857777777777777</v>
      </c>
      <c r="J66" s="3">
        <v>0</v>
      </c>
      <c r="K66" s="3">
        <v>0.2018888888888889</v>
      </c>
      <c r="L66" s="3">
        <v>2.1568888888888882</v>
      </c>
      <c r="M66" s="3">
        <v>4.5875555555555563</v>
      </c>
      <c r="N66" s="3">
        <v>0</v>
      </c>
      <c r="O66" s="3">
        <f>SUM(Table2[[#This Row],[Qualified Social Work Staff Hours]:[Other Social Work Staff Hours]])/Table2[[#This Row],[MDS Census]]</f>
        <v>0.11481646273637376</v>
      </c>
      <c r="P66" s="3">
        <v>4.0798888888888891</v>
      </c>
      <c r="Q66" s="3">
        <v>2.2083333333333335</v>
      </c>
      <c r="R66" s="3">
        <f>SUM(Table2[[#This Row],[Qualified Activities Professional Hours]:[Other Activities Professional Hours]])/Table2[[#This Row],[MDS Census]]</f>
        <v>0.15738042269187985</v>
      </c>
      <c r="S66" s="3">
        <v>3.129111111111111</v>
      </c>
      <c r="T66" s="3">
        <v>0.50411111111111118</v>
      </c>
      <c r="U66" s="3">
        <v>0</v>
      </c>
      <c r="V66" s="3">
        <f>SUM(Table2[[#This Row],[Occupational Therapist Hours]:[OT Aide Hours]])/Table2[[#This Row],[MDS Census]]</f>
        <v>9.0931590656284755E-2</v>
      </c>
      <c r="W66" s="3">
        <v>1.0899999999999994</v>
      </c>
      <c r="X66" s="3">
        <v>4.5907777777777765</v>
      </c>
      <c r="Y66" s="3">
        <v>0</v>
      </c>
      <c r="Z66" s="3">
        <f>SUM(Table2[[#This Row],[Physical Therapist (PT) Hours]:[PT Aide Hours]])/Table2[[#This Row],[MDS Census]]</f>
        <v>0.14217741935483866</v>
      </c>
      <c r="AA66" s="3">
        <v>0</v>
      </c>
      <c r="AB66" s="3">
        <v>0</v>
      </c>
      <c r="AC66" s="3">
        <v>8.3333333333333329E-2</v>
      </c>
      <c r="AD66" s="3">
        <v>0</v>
      </c>
      <c r="AE66" s="3">
        <v>0</v>
      </c>
      <c r="AF66" s="3">
        <v>0</v>
      </c>
      <c r="AG66" s="3">
        <v>0</v>
      </c>
      <c r="AH66" s="1" t="s">
        <v>64</v>
      </c>
      <c r="AI66" s="17">
        <v>10</v>
      </c>
      <c r="AJ66" s="1"/>
    </row>
    <row r="67" spans="1:36" x14ac:dyDescent="0.2">
      <c r="A67" s="1" t="s">
        <v>128</v>
      </c>
      <c r="B67" s="1" t="s">
        <v>194</v>
      </c>
      <c r="C67" s="1" t="s">
        <v>302</v>
      </c>
      <c r="D67" s="1" t="s">
        <v>339</v>
      </c>
      <c r="E67" s="3">
        <v>5.7111111111111112</v>
      </c>
      <c r="F67" s="3">
        <v>5.4222222222222225</v>
      </c>
      <c r="G67" s="3">
        <v>8.8888888888888892E-2</v>
      </c>
      <c r="H67" s="3">
        <v>6.6666666666666666E-2</v>
      </c>
      <c r="I67" s="3">
        <v>0.13333333333333333</v>
      </c>
      <c r="J67" s="3">
        <v>0</v>
      </c>
      <c r="K67" s="3">
        <v>0</v>
      </c>
      <c r="L67" s="3">
        <v>0</v>
      </c>
      <c r="M67" s="3">
        <v>0</v>
      </c>
      <c r="N67" s="3">
        <v>0</v>
      </c>
      <c r="O67" s="3">
        <f>SUM(Table2[[#This Row],[Qualified Social Work Staff Hours]:[Other Social Work Staff Hours]])/Table2[[#This Row],[MDS Census]]</f>
        <v>0</v>
      </c>
      <c r="P67" s="3">
        <v>0.64444444444444449</v>
      </c>
      <c r="Q67" s="3">
        <v>0.24444444444444444</v>
      </c>
      <c r="R67" s="3">
        <f>SUM(Table2[[#This Row],[Qualified Activities Professional Hours]:[Other Activities Professional Hours]])/Table2[[#This Row],[MDS Census]]</f>
        <v>0.1556420233463035</v>
      </c>
      <c r="S67" s="3">
        <v>4.674666666666667</v>
      </c>
      <c r="T67" s="3">
        <v>0</v>
      </c>
      <c r="U67" s="3">
        <v>0</v>
      </c>
      <c r="V67" s="3">
        <f>SUM(Table2[[#This Row],[Occupational Therapist Hours]:[OT Aide Hours]])/Table2[[#This Row],[MDS Census]]</f>
        <v>0.81852140077821012</v>
      </c>
      <c r="W67" s="3">
        <v>0</v>
      </c>
      <c r="X67" s="3">
        <v>0</v>
      </c>
      <c r="Y67" s="3">
        <v>0</v>
      </c>
      <c r="Z67" s="3">
        <f>SUM(Table2[[#This Row],[Physical Therapist (PT) Hours]:[PT Aide Hours]])/Table2[[#This Row],[MDS Census]]</f>
        <v>0</v>
      </c>
      <c r="AA67" s="3">
        <v>0</v>
      </c>
      <c r="AB67" s="3">
        <v>0</v>
      </c>
      <c r="AC67" s="3">
        <v>0</v>
      </c>
      <c r="AD67" s="3">
        <v>0</v>
      </c>
      <c r="AE67" s="3">
        <v>0</v>
      </c>
      <c r="AF67" s="3">
        <v>0</v>
      </c>
      <c r="AG67" s="3">
        <v>0</v>
      </c>
      <c r="AH67" s="1" t="s">
        <v>65</v>
      </c>
      <c r="AI67" s="17">
        <v>10</v>
      </c>
      <c r="AJ67" s="1"/>
    </row>
    <row r="68" spans="1:36" x14ac:dyDescent="0.2">
      <c r="A68" s="1" t="s">
        <v>128</v>
      </c>
      <c r="B68" s="1" t="s">
        <v>195</v>
      </c>
      <c r="C68" s="1" t="s">
        <v>269</v>
      </c>
      <c r="D68" s="1" t="s">
        <v>343</v>
      </c>
      <c r="E68" s="3">
        <v>33.37777777777778</v>
      </c>
      <c r="F68" s="3">
        <v>5.1722222222222225</v>
      </c>
      <c r="G68" s="3">
        <v>0</v>
      </c>
      <c r="H68" s="3">
        <v>0</v>
      </c>
      <c r="I68" s="3">
        <v>1.1611111111111112</v>
      </c>
      <c r="J68" s="3">
        <v>0</v>
      </c>
      <c r="K68" s="3">
        <v>0</v>
      </c>
      <c r="L68" s="3">
        <v>4.6138888888888898</v>
      </c>
      <c r="M68" s="3">
        <v>2.3156666666666665</v>
      </c>
      <c r="N68" s="3">
        <v>1.9871111111111111</v>
      </c>
      <c r="O68" s="3">
        <f>SUM(Table2[[#This Row],[Qualified Social Work Staff Hours]:[Other Social Work Staff Hours]])/Table2[[#This Row],[MDS Census]]</f>
        <v>0.12891145139813578</v>
      </c>
      <c r="P68" s="3">
        <v>2.7224444444444438</v>
      </c>
      <c r="Q68" s="3">
        <v>0.72644444444444445</v>
      </c>
      <c r="R68" s="3">
        <f>SUM(Table2[[#This Row],[Qualified Activities Professional Hours]:[Other Activities Professional Hours]])/Table2[[#This Row],[MDS Census]]</f>
        <v>0.10332889480692407</v>
      </c>
      <c r="S68" s="3">
        <v>3.8088888888888897</v>
      </c>
      <c r="T68" s="3">
        <v>3.863777777777778</v>
      </c>
      <c r="U68" s="3">
        <v>0</v>
      </c>
      <c r="V68" s="3">
        <f>SUM(Table2[[#This Row],[Occupational Therapist Hours]:[OT Aide Hours]])/Table2[[#This Row],[MDS Census]]</f>
        <v>0.22987350199733692</v>
      </c>
      <c r="W68" s="3">
        <v>5.3126666666666669</v>
      </c>
      <c r="X68" s="3">
        <v>3.6105555555555546</v>
      </c>
      <c r="Y68" s="3">
        <v>0</v>
      </c>
      <c r="Z68" s="3">
        <f>SUM(Table2[[#This Row],[Physical Therapist (PT) Hours]:[PT Aide Hours]])/Table2[[#This Row],[MDS Census]]</f>
        <v>0.26734021304926764</v>
      </c>
      <c r="AA68" s="3">
        <v>0</v>
      </c>
      <c r="AB68" s="3">
        <v>0</v>
      </c>
      <c r="AC68" s="3">
        <v>0</v>
      </c>
      <c r="AD68" s="3">
        <v>0</v>
      </c>
      <c r="AE68" s="3">
        <v>0</v>
      </c>
      <c r="AF68" s="3">
        <v>0</v>
      </c>
      <c r="AG68" s="3">
        <v>0</v>
      </c>
      <c r="AH68" s="1" t="s">
        <v>66</v>
      </c>
      <c r="AI68" s="17">
        <v>10</v>
      </c>
      <c r="AJ68" s="1"/>
    </row>
    <row r="69" spans="1:36" x14ac:dyDescent="0.2">
      <c r="A69" s="1" t="s">
        <v>128</v>
      </c>
      <c r="B69" s="1" t="s">
        <v>196</v>
      </c>
      <c r="C69" s="1" t="s">
        <v>277</v>
      </c>
      <c r="D69" s="1" t="s">
        <v>339</v>
      </c>
      <c r="E69" s="3">
        <v>45.411111111111111</v>
      </c>
      <c r="F69" s="3">
        <v>5.8666666666666663</v>
      </c>
      <c r="G69" s="3">
        <v>1.8666666666666667</v>
      </c>
      <c r="H69" s="3">
        <v>0.32222222222222224</v>
      </c>
      <c r="I69" s="3">
        <v>1.0722222222222222</v>
      </c>
      <c r="J69" s="3">
        <v>0</v>
      </c>
      <c r="K69" s="3">
        <v>0.17222222222222222</v>
      </c>
      <c r="L69" s="3">
        <v>1.6061111111111106</v>
      </c>
      <c r="M69" s="3">
        <v>0</v>
      </c>
      <c r="N69" s="3">
        <v>4.6472222222222221</v>
      </c>
      <c r="O69" s="3">
        <f>SUM(Table2[[#This Row],[Qualified Social Work Staff Hours]:[Other Social Work Staff Hours]])/Table2[[#This Row],[MDS Census]]</f>
        <v>0.10233667726939075</v>
      </c>
      <c r="P69" s="3">
        <v>5.3083333333333336</v>
      </c>
      <c r="Q69" s="3">
        <v>0</v>
      </c>
      <c r="R69" s="3">
        <f>SUM(Table2[[#This Row],[Qualified Activities Professional Hours]:[Other Activities Professional Hours]])/Table2[[#This Row],[MDS Census]]</f>
        <v>0.1168950330315635</v>
      </c>
      <c r="S69" s="3">
        <v>6.3778888888888892</v>
      </c>
      <c r="T69" s="3">
        <v>2.703555555555555</v>
      </c>
      <c r="U69" s="3">
        <v>0</v>
      </c>
      <c r="V69" s="3">
        <f>SUM(Table2[[#This Row],[Occupational Therapist Hours]:[OT Aide Hours]])/Table2[[#This Row],[MDS Census]]</f>
        <v>0.19998287252263272</v>
      </c>
      <c r="W69" s="3">
        <v>4.2114444444444441</v>
      </c>
      <c r="X69" s="3">
        <v>3.3818888888888896</v>
      </c>
      <c r="Y69" s="3">
        <v>0</v>
      </c>
      <c r="Z69" s="3">
        <f>SUM(Table2[[#This Row],[Physical Therapist (PT) Hours]:[PT Aide Hours]])/Table2[[#This Row],[MDS Census]]</f>
        <v>0.16721311475409836</v>
      </c>
      <c r="AA69" s="3">
        <v>0</v>
      </c>
      <c r="AB69" s="3">
        <v>0</v>
      </c>
      <c r="AC69" s="3">
        <v>0</v>
      </c>
      <c r="AD69" s="3">
        <v>0</v>
      </c>
      <c r="AE69" s="3">
        <v>0</v>
      </c>
      <c r="AF69" s="3">
        <v>0</v>
      </c>
      <c r="AG69" s="3">
        <v>0</v>
      </c>
      <c r="AH69" s="1" t="s">
        <v>67</v>
      </c>
      <c r="AI69" s="17">
        <v>10</v>
      </c>
      <c r="AJ69" s="1"/>
    </row>
    <row r="70" spans="1:36" x14ac:dyDescent="0.2">
      <c r="A70" s="1" t="s">
        <v>128</v>
      </c>
      <c r="B70" s="1" t="s">
        <v>197</v>
      </c>
      <c r="C70" s="1" t="s">
        <v>292</v>
      </c>
      <c r="D70" s="1" t="s">
        <v>321</v>
      </c>
      <c r="E70" s="3">
        <v>43.077777777777776</v>
      </c>
      <c r="F70" s="3">
        <v>5.6</v>
      </c>
      <c r="G70" s="3">
        <v>0.8</v>
      </c>
      <c r="H70" s="3">
        <v>0.25555555555555554</v>
      </c>
      <c r="I70" s="3">
        <v>0.55000000000000004</v>
      </c>
      <c r="J70" s="3">
        <v>0</v>
      </c>
      <c r="K70" s="3">
        <v>0</v>
      </c>
      <c r="L70" s="3">
        <v>1.5608888888888885</v>
      </c>
      <c r="M70" s="3">
        <v>7.5250000000000004</v>
      </c>
      <c r="N70" s="3">
        <v>0</v>
      </c>
      <c r="O70" s="3">
        <f>SUM(Table2[[#This Row],[Qualified Social Work Staff Hours]:[Other Social Work Staff Hours]])/Table2[[#This Row],[MDS Census]]</f>
        <v>0.17468403404694352</v>
      </c>
      <c r="P70" s="3">
        <v>5.2750000000000004</v>
      </c>
      <c r="Q70" s="3">
        <v>2.9388888888888891</v>
      </c>
      <c r="R70" s="3">
        <f>SUM(Table2[[#This Row],[Qualified Activities Professional Hours]:[Other Activities Professional Hours]])/Table2[[#This Row],[MDS Census]]</f>
        <v>0.19067578024245552</v>
      </c>
      <c r="S70" s="3">
        <v>4.2435555555555542</v>
      </c>
      <c r="T70" s="3">
        <v>4.2788888888888899</v>
      </c>
      <c r="U70" s="3">
        <v>0</v>
      </c>
      <c r="V70" s="3">
        <f>SUM(Table2[[#This Row],[Occupational Therapist Hours]:[OT Aide Hours]])/Table2[[#This Row],[MDS Census]]</f>
        <v>0.19783853494970338</v>
      </c>
      <c r="W70" s="3">
        <v>3.8073333333333328</v>
      </c>
      <c r="X70" s="3">
        <v>4.4542222222222216</v>
      </c>
      <c r="Y70" s="3">
        <v>0</v>
      </c>
      <c r="Z70" s="3">
        <f>SUM(Table2[[#This Row],[Physical Therapist (PT) Hours]:[PT Aide Hours]])/Table2[[#This Row],[MDS Census]]</f>
        <v>0.19178230590662884</v>
      </c>
      <c r="AA70" s="3">
        <v>0</v>
      </c>
      <c r="AB70" s="3">
        <v>0</v>
      </c>
      <c r="AC70" s="3">
        <v>0</v>
      </c>
      <c r="AD70" s="3">
        <v>0</v>
      </c>
      <c r="AE70" s="3">
        <v>0</v>
      </c>
      <c r="AF70" s="3">
        <v>0</v>
      </c>
      <c r="AG70" s="3">
        <v>0</v>
      </c>
      <c r="AH70" s="1" t="s">
        <v>68</v>
      </c>
      <c r="AI70" s="17">
        <v>10</v>
      </c>
      <c r="AJ70" s="1"/>
    </row>
    <row r="71" spans="1:36" x14ac:dyDescent="0.2">
      <c r="A71" s="1" t="s">
        <v>128</v>
      </c>
      <c r="B71" s="1" t="s">
        <v>198</v>
      </c>
      <c r="C71" s="1" t="s">
        <v>265</v>
      </c>
      <c r="D71" s="1" t="s">
        <v>331</v>
      </c>
      <c r="E71" s="3">
        <v>65.833333333333329</v>
      </c>
      <c r="F71" s="3">
        <v>11.377777777777778</v>
      </c>
      <c r="G71" s="3">
        <v>4.4444444444444446E-2</v>
      </c>
      <c r="H71" s="3">
        <v>0</v>
      </c>
      <c r="I71" s="3">
        <v>1.1333333333333333</v>
      </c>
      <c r="J71" s="3">
        <v>0</v>
      </c>
      <c r="K71" s="3">
        <v>0</v>
      </c>
      <c r="L71" s="3">
        <v>0.6501111111111112</v>
      </c>
      <c r="M71" s="3">
        <v>5.6615555555555535</v>
      </c>
      <c r="N71" s="3">
        <v>5.6888888888888891</v>
      </c>
      <c r="O71" s="3">
        <f>SUM(Table2[[#This Row],[Qualified Social Work Staff Hours]:[Other Social Work Staff Hours]])/Table2[[#This Row],[MDS Census]]</f>
        <v>0.17241181434599154</v>
      </c>
      <c r="P71" s="3">
        <v>5.8261111111111124</v>
      </c>
      <c r="Q71" s="3">
        <v>11.087666666666665</v>
      </c>
      <c r="R71" s="3">
        <f>SUM(Table2[[#This Row],[Qualified Activities Professional Hours]:[Other Activities Professional Hours]])/Table2[[#This Row],[MDS Census]]</f>
        <v>0.25691814345991565</v>
      </c>
      <c r="S71" s="3">
        <v>2.5691111111111109</v>
      </c>
      <c r="T71" s="3">
        <v>2.0382222222222217</v>
      </c>
      <c r="U71" s="3">
        <v>0</v>
      </c>
      <c r="V71" s="3">
        <f>SUM(Table2[[#This Row],[Occupational Therapist Hours]:[OT Aide Hours]])/Table2[[#This Row],[MDS Census]]</f>
        <v>6.9984810126582281E-2</v>
      </c>
      <c r="W71" s="3">
        <v>2.9514444444444443</v>
      </c>
      <c r="X71" s="3">
        <v>3.4194444444444465</v>
      </c>
      <c r="Y71" s="3">
        <v>0</v>
      </c>
      <c r="Z71" s="3">
        <f>SUM(Table2[[#This Row],[Physical Therapist (PT) Hours]:[PT Aide Hours]])/Table2[[#This Row],[MDS Census]]</f>
        <v>9.6772995780590745E-2</v>
      </c>
      <c r="AA71" s="3">
        <v>0</v>
      </c>
      <c r="AB71" s="3">
        <v>0</v>
      </c>
      <c r="AC71" s="3">
        <v>0</v>
      </c>
      <c r="AD71" s="3">
        <v>0</v>
      </c>
      <c r="AE71" s="3">
        <v>0</v>
      </c>
      <c r="AF71" s="3">
        <v>0</v>
      </c>
      <c r="AG71" s="3">
        <v>0</v>
      </c>
      <c r="AH71" s="1" t="s">
        <v>69</v>
      </c>
      <c r="AI71" s="17">
        <v>10</v>
      </c>
      <c r="AJ71" s="1"/>
    </row>
    <row r="72" spans="1:36" x14ac:dyDescent="0.2">
      <c r="A72" s="1" t="s">
        <v>128</v>
      </c>
      <c r="B72" s="1" t="s">
        <v>199</v>
      </c>
      <c r="C72" s="1" t="s">
        <v>264</v>
      </c>
      <c r="D72" s="1" t="s">
        <v>328</v>
      </c>
      <c r="E72" s="3">
        <v>79.733333333333334</v>
      </c>
      <c r="F72" s="3">
        <v>10.319444444444441</v>
      </c>
      <c r="G72" s="3">
        <v>0</v>
      </c>
      <c r="H72" s="3">
        <v>0</v>
      </c>
      <c r="I72" s="3">
        <v>0</v>
      </c>
      <c r="J72" s="3">
        <v>0</v>
      </c>
      <c r="K72" s="3">
        <v>0</v>
      </c>
      <c r="L72" s="3">
        <v>2.2847777777777778</v>
      </c>
      <c r="M72" s="3">
        <v>8.9670000000000005</v>
      </c>
      <c r="N72" s="3">
        <v>0</v>
      </c>
      <c r="O72" s="3">
        <f>SUM(Table2[[#This Row],[Qualified Social Work Staff Hours]:[Other Social Work Staff Hours]])/Table2[[#This Row],[MDS Census]]</f>
        <v>0.11246237458193981</v>
      </c>
      <c r="P72" s="3">
        <v>0</v>
      </c>
      <c r="Q72" s="3">
        <v>19.829555555555558</v>
      </c>
      <c r="R72" s="3">
        <f>SUM(Table2[[#This Row],[Qualified Activities Professional Hours]:[Other Activities Professional Hours]])/Table2[[#This Row],[MDS Census]]</f>
        <v>0.24869843924191753</v>
      </c>
      <c r="S72" s="3">
        <v>4.4401111111111096</v>
      </c>
      <c r="T72" s="3">
        <v>10.866888888888885</v>
      </c>
      <c r="U72" s="3">
        <v>0</v>
      </c>
      <c r="V72" s="3">
        <f>SUM(Table2[[#This Row],[Occupational Therapist Hours]:[OT Aide Hours]])/Table2[[#This Row],[MDS Census]]</f>
        <v>0.19197742474916382</v>
      </c>
      <c r="W72" s="3">
        <v>10.699000000000003</v>
      </c>
      <c r="X72" s="3">
        <v>7.1506666666666687</v>
      </c>
      <c r="Y72" s="3">
        <v>3.9376666666666664</v>
      </c>
      <c r="Z72" s="3">
        <f>SUM(Table2[[#This Row],[Physical Therapist (PT) Hours]:[PT Aide Hours]])/Table2[[#This Row],[MDS Census]]</f>
        <v>0.27325250836120407</v>
      </c>
      <c r="AA72" s="3">
        <v>0</v>
      </c>
      <c r="AB72" s="3">
        <v>0</v>
      </c>
      <c r="AC72" s="3">
        <v>0</v>
      </c>
      <c r="AD72" s="3">
        <v>0</v>
      </c>
      <c r="AE72" s="3">
        <v>0</v>
      </c>
      <c r="AF72" s="3">
        <v>0</v>
      </c>
      <c r="AG72" s="3">
        <v>0</v>
      </c>
      <c r="AH72" s="1" t="s">
        <v>70</v>
      </c>
      <c r="AI72" s="17">
        <v>10</v>
      </c>
      <c r="AJ72" s="1"/>
    </row>
    <row r="73" spans="1:36" x14ac:dyDescent="0.2">
      <c r="A73" s="1" t="s">
        <v>128</v>
      </c>
      <c r="B73" s="1" t="s">
        <v>200</v>
      </c>
      <c r="C73" s="1" t="s">
        <v>263</v>
      </c>
      <c r="D73" s="1" t="s">
        <v>334</v>
      </c>
      <c r="E73" s="3">
        <v>56.488888888888887</v>
      </c>
      <c r="F73" s="3">
        <v>9.3805555555555564</v>
      </c>
      <c r="G73" s="3">
        <v>0.7</v>
      </c>
      <c r="H73" s="3">
        <v>0.22222222222222221</v>
      </c>
      <c r="I73" s="3">
        <v>5.9386666666666654</v>
      </c>
      <c r="J73" s="3">
        <v>0</v>
      </c>
      <c r="K73" s="3">
        <v>0</v>
      </c>
      <c r="L73" s="3">
        <v>3.0811111111111127</v>
      </c>
      <c r="M73" s="3">
        <v>8.7388888888888889</v>
      </c>
      <c r="N73" s="3">
        <v>0</v>
      </c>
      <c r="O73" s="3">
        <f>SUM(Table2[[#This Row],[Qualified Social Work Staff Hours]:[Other Social Work Staff Hours]])/Table2[[#This Row],[MDS Census]]</f>
        <v>0.15470102281667977</v>
      </c>
      <c r="P73" s="3">
        <v>8.4555555555555557</v>
      </c>
      <c r="Q73" s="3">
        <v>5.8361111111111112</v>
      </c>
      <c r="R73" s="3">
        <f>SUM(Table2[[#This Row],[Qualified Activities Professional Hours]:[Other Activities Professional Hours]])/Table2[[#This Row],[MDS Census]]</f>
        <v>0.25299960660896936</v>
      </c>
      <c r="S73" s="3">
        <v>4.9706666666666663</v>
      </c>
      <c r="T73" s="3">
        <v>4.9213333333333322</v>
      </c>
      <c r="U73" s="3">
        <v>0</v>
      </c>
      <c r="V73" s="3">
        <f>SUM(Table2[[#This Row],[Occupational Therapist Hours]:[OT Aide Hours]])/Table2[[#This Row],[MDS Census]]</f>
        <v>0.1751140833988985</v>
      </c>
      <c r="W73" s="3">
        <v>10.591444444444443</v>
      </c>
      <c r="X73" s="3">
        <v>0.28188888888888886</v>
      </c>
      <c r="Y73" s="3">
        <v>0</v>
      </c>
      <c r="Z73" s="3">
        <f>SUM(Table2[[#This Row],[Physical Therapist (PT) Hours]:[PT Aide Hours]])/Table2[[#This Row],[MDS Census]]</f>
        <v>0.192486231313926</v>
      </c>
      <c r="AA73" s="3">
        <v>0</v>
      </c>
      <c r="AB73" s="3">
        <v>0</v>
      </c>
      <c r="AC73" s="3">
        <v>0</v>
      </c>
      <c r="AD73" s="3">
        <v>0</v>
      </c>
      <c r="AE73" s="3">
        <v>0</v>
      </c>
      <c r="AF73" s="3">
        <v>0</v>
      </c>
      <c r="AG73" s="3">
        <v>0</v>
      </c>
      <c r="AH73" s="1" t="s">
        <v>71</v>
      </c>
      <c r="AI73" s="17">
        <v>10</v>
      </c>
      <c r="AJ73" s="1"/>
    </row>
    <row r="74" spans="1:36" x14ac:dyDescent="0.2">
      <c r="A74" s="1" t="s">
        <v>128</v>
      </c>
      <c r="B74" s="1" t="s">
        <v>201</v>
      </c>
      <c r="C74" s="1" t="s">
        <v>303</v>
      </c>
      <c r="D74" s="1" t="s">
        <v>325</v>
      </c>
      <c r="E74" s="3">
        <v>25.677777777777777</v>
      </c>
      <c r="F74" s="3">
        <v>10.397222222222222</v>
      </c>
      <c r="G74" s="3">
        <v>0</v>
      </c>
      <c r="H74" s="3">
        <v>0</v>
      </c>
      <c r="I74" s="3">
        <v>4.9388888888888891</v>
      </c>
      <c r="J74" s="3">
        <v>0</v>
      </c>
      <c r="K74" s="3">
        <v>0</v>
      </c>
      <c r="L74" s="3">
        <v>0.4834444444444444</v>
      </c>
      <c r="M74" s="3">
        <v>3.2611111111111111</v>
      </c>
      <c r="N74" s="3">
        <v>0</v>
      </c>
      <c r="O74" s="3">
        <f>SUM(Table2[[#This Row],[Qualified Social Work Staff Hours]:[Other Social Work Staff Hours]])/Table2[[#This Row],[MDS Census]]</f>
        <v>0.12700129813933361</v>
      </c>
      <c r="P74" s="3">
        <v>4.9916666666666663</v>
      </c>
      <c r="Q74" s="3">
        <v>0</v>
      </c>
      <c r="R74" s="3">
        <f>SUM(Table2[[#This Row],[Qualified Activities Professional Hours]:[Other Activities Professional Hours]])/Table2[[#This Row],[MDS Census]]</f>
        <v>0.19439636520986583</v>
      </c>
      <c r="S74" s="3">
        <v>0.56299999999999994</v>
      </c>
      <c r="T74" s="3">
        <v>4.2252222222222224</v>
      </c>
      <c r="U74" s="3">
        <v>0</v>
      </c>
      <c r="V74" s="3">
        <f>SUM(Table2[[#This Row],[Occupational Therapist Hours]:[OT Aide Hours]])/Table2[[#This Row],[MDS Census]]</f>
        <v>0.18647338814366077</v>
      </c>
      <c r="W74" s="3">
        <v>2.0036666666666672</v>
      </c>
      <c r="X74" s="3">
        <v>2.1348888888888893</v>
      </c>
      <c r="Y74" s="3">
        <v>0</v>
      </c>
      <c r="Z74" s="3">
        <f>SUM(Table2[[#This Row],[Physical Therapist (PT) Hours]:[PT Aide Hours]])/Table2[[#This Row],[MDS Census]]</f>
        <v>0.16117265253137175</v>
      </c>
      <c r="AA74" s="3">
        <v>0</v>
      </c>
      <c r="AB74" s="3">
        <v>0</v>
      </c>
      <c r="AC74" s="3">
        <v>0</v>
      </c>
      <c r="AD74" s="3">
        <v>18.663888888888888</v>
      </c>
      <c r="AE74" s="3">
        <v>0</v>
      </c>
      <c r="AF74" s="3">
        <v>0</v>
      </c>
      <c r="AG74" s="3">
        <v>0</v>
      </c>
      <c r="AH74" s="1" t="s">
        <v>72</v>
      </c>
      <c r="AI74" s="17">
        <v>10</v>
      </c>
      <c r="AJ74" s="1"/>
    </row>
    <row r="75" spans="1:36" x14ac:dyDescent="0.2">
      <c r="A75" s="1" t="s">
        <v>128</v>
      </c>
      <c r="B75" s="1" t="s">
        <v>202</v>
      </c>
      <c r="C75" s="1" t="s">
        <v>263</v>
      </c>
      <c r="D75" s="1" t="s">
        <v>334</v>
      </c>
      <c r="E75" s="3">
        <v>56.222222222222221</v>
      </c>
      <c r="F75" s="3">
        <v>5.6</v>
      </c>
      <c r="G75" s="3">
        <v>1.4</v>
      </c>
      <c r="H75" s="3">
        <v>0.22777777777777777</v>
      </c>
      <c r="I75" s="3">
        <v>4.427777777777778</v>
      </c>
      <c r="J75" s="3">
        <v>0</v>
      </c>
      <c r="K75" s="3">
        <v>0</v>
      </c>
      <c r="L75" s="3">
        <v>5.0307777777777787</v>
      </c>
      <c r="M75" s="3">
        <v>19.602777777777778</v>
      </c>
      <c r="N75" s="3">
        <v>0</v>
      </c>
      <c r="O75" s="3">
        <f>SUM(Table2[[#This Row],[Qualified Social Work Staff Hours]:[Other Social Work Staff Hours]])/Table2[[#This Row],[MDS Census]]</f>
        <v>0.34866600790513835</v>
      </c>
      <c r="P75" s="3">
        <v>4.2138888888888886</v>
      </c>
      <c r="Q75" s="3">
        <v>6.0555555555555554</v>
      </c>
      <c r="R75" s="3">
        <f>SUM(Table2[[#This Row],[Qualified Activities Professional Hours]:[Other Activities Professional Hours]])/Table2[[#This Row],[MDS Census]]</f>
        <v>0.18265810276679842</v>
      </c>
      <c r="S75" s="3">
        <v>9.2164444444444449</v>
      </c>
      <c r="T75" s="3">
        <v>17.514888888888894</v>
      </c>
      <c r="U75" s="3">
        <v>0</v>
      </c>
      <c r="V75" s="3">
        <f>SUM(Table2[[#This Row],[Occupational Therapist Hours]:[OT Aide Hours]])/Table2[[#This Row],[MDS Census]]</f>
        <v>0.47545849802371554</v>
      </c>
      <c r="W75" s="3">
        <v>13.506777777777776</v>
      </c>
      <c r="X75" s="3">
        <v>17.379888888888896</v>
      </c>
      <c r="Y75" s="3">
        <v>0</v>
      </c>
      <c r="Z75" s="3">
        <f>SUM(Table2[[#This Row],[Physical Therapist (PT) Hours]:[PT Aide Hours]])/Table2[[#This Row],[MDS Census]]</f>
        <v>0.54936758893280635</v>
      </c>
      <c r="AA75" s="3">
        <v>0</v>
      </c>
      <c r="AB75" s="3">
        <v>0</v>
      </c>
      <c r="AC75" s="3">
        <v>0</v>
      </c>
      <c r="AD75" s="3">
        <v>0</v>
      </c>
      <c r="AE75" s="3">
        <v>0</v>
      </c>
      <c r="AF75" s="3">
        <v>0</v>
      </c>
      <c r="AG75" s="3">
        <v>0</v>
      </c>
      <c r="AH75" s="1" t="s">
        <v>73</v>
      </c>
      <c r="AI75" s="17">
        <v>10</v>
      </c>
      <c r="AJ75" s="1"/>
    </row>
    <row r="76" spans="1:36" x14ac:dyDescent="0.2">
      <c r="A76" s="1" t="s">
        <v>128</v>
      </c>
      <c r="B76" s="1" t="s">
        <v>203</v>
      </c>
      <c r="C76" s="1" t="s">
        <v>266</v>
      </c>
      <c r="D76" s="1" t="s">
        <v>321</v>
      </c>
      <c r="E76" s="3">
        <v>43.922222222222224</v>
      </c>
      <c r="F76" s="3">
        <v>5.9916666666666663</v>
      </c>
      <c r="G76" s="3">
        <v>0</v>
      </c>
      <c r="H76" s="3">
        <v>0</v>
      </c>
      <c r="I76" s="3">
        <v>4.4444444444444446</v>
      </c>
      <c r="J76" s="3">
        <v>0</v>
      </c>
      <c r="K76" s="3">
        <v>0</v>
      </c>
      <c r="L76" s="3">
        <v>2.1926666666666672</v>
      </c>
      <c r="M76" s="3">
        <v>4.5305555555555559</v>
      </c>
      <c r="N76" s="3">
        <v>0</v>
      </c>
      <c r="O76" s="3">
        <f>SUM(Table2[[#This Row],[Qualified Social Work Staff Hours]:[Other Social Work Staff Hours]])/Table2[[#This Row],[MDS Census]]</f>
        <v>0.10314950670376929</v>
      </c>
      <c r="P76" s="3">
        <v>4.2222222222222223</v>
      </c>
      <c r="Q76" s="3">
        <v>0</v>
      </c>
      <c r="R76" s="3">
        <f>SUM(Table2[[#This Row],[Qualified Activities Professional Hours]:[Other Activities Professional Hours]])/Table2[[#This Row],[MDS Census]]</f>
        <v>9.6129521882114849E-2</v>
      </c>
      <c r="S76" s="3">
        <v>1.3427777777777776</v>
      </c>
      <c r="T76" s="3">
        <v>0</v>
      </c>
      <c r="U76" s="3">
        <v>0</v>
      </c>
      <c r="V76" s="3">
        <f>SUM(Table2[[#This Row],[Occupational Therapist Hours]:[OT Aide Hours]])/Table2[[#This Row],[MDS Census]]</f>
        <v>3.0571717682772573E-2</v>
      </c>
      <c r="W76" s="3">
        <v>6.7378888888888895</v>
      </c>
      <c r="X76" s="3">
        <v>7.8555555555555559E-2</v>
      </c>
      <c r="Y76" s="3">
        <v>0</v>
      </c>
      <c r="Z76" s="3">
        <f>SUM(Table2[[#This Row],[Physical Therapist (PT) Hours]:[PT Aide Hours]])/Table2[[#This Row],[MDS Census]]</f>
        <v>0.15519352390589428</v>
      </c>
      <c r="AA76" s="3">
        <v>0</v>
      </c>
      <c r="AB76" s="3">
        <v>0</v>
      </c>
      <c r="AC76" s="3">
        <v>0</v>
      </c>
      <c r="AD76" s="3">
        <v>26.416666666666668</v>
      </c>
      <c r="AE76" s="3">
        <v>0</v>
      </c>
      <c r="AF76" s="3">
        <v>0</v>
      </c>
      <c r="AG76" s="3">
        <v>0</v>
      </c>
      <c r="AH76" s="1" t="s">
        <v>74</v>
      </c>
      <c r="AI76" s="17">
        <v>10</v>
      </c>
      <c r="AJ76" s="1"/>
    </row>
    <row r="77" spans="1:36" x14ac:dyDescent="0.2">
      <c r="A77" s="1" t="s">
        <v>128</v>
      </c>
      <c r="B77" s="1" t="s">
        <v>204</v>
      </c>
      <c r="C77" s="1" t="s">
        <v>263</v>
      </c>
      <c r="D77" s="1" t="s">
        <v>334</v>
      </c>
      <c r="E77" s="3">
        <v>55.8</v>
      </c>
      <c r="F77" s="3">
        <v>5.6</v>
      </c>
      <c r="G77" s="3">
        <v>1.4222222222222223</v>
      </c>
      <c r="H77" s="3">
        <v>0.2</v>
      </c>
      <c r="I77" s="3">
        <v>0.41111111111111109</v>
      </c>
      <c r="J77" s="3">
        <v>0</v>
      </c>
      <c r="K77" s="3">
        <v>0.71111111111111114</v>
      </c>
      <c r="L77" s="3">
        <v>3.2353333333333336</v>
      </c>
      <c r="M77" s="3">
        <v>11.33611111111111</v>
      </c>
      <c r="N77" s="3">
        <v>0</v>
      </c>
      <c r="O77" s="3">
        <f>SUM(Table2[[#This Row],[Qualified Social Work Staff Hours]:[Other Social Work Staff Hours]])/Table2[[#This Row],[MDS Census]]</f>
        <v>0.20315611310234966</v>
      </c>
      <c r="P77" s="3">
        <v>5.35</v>
      </c>
      <c r="Q77" s="3">
        <v>1.9944444444444445</v>
      </c>
      <c r="R77" s="3">
        <f>SUM(Table2[[#This Row],[Qualified Activities Professional Hours]:[Other Activities Professional Hours]])/Table2[[#This Row],[MDS Census]]</f>
        <v>0.13162086818000795</v>
      </c>
      <c r="S77" s="3">
        <v>5.9076666666666657</v>
      </c>
      <c r="T77" s="3">
        <v>6.8074444444444477</v>
      </c>
      <c r="U77" s="3">
        <v>0</v>
      </c>
      <c r="V77" s="3">
        <f>SUM(Table2[[#This Row],[Occupational Therapist Hours]:[OT Aide Hours]])/Table2[[#This Row],[MDS Census]]</f>
        <v>0.22786937475109523</v>
      </c>
      <c r="W77" s="3">
        <v>6.8534444444444453</v>
      </c>
      <c r="X77" s="3">
        <v>8.9408888888888889</v>
      </c>
      <c r="Y77" s="3">
        <v>0</v>
      </c>
      <c r="Z77" s="3">
        <f>SUM(Table2[[#This Row],[Physical Therapist (PT) Hours]:[PT Aide Hours]])/Table2[[#This Row],[MDS Census]]</f>
        <v>0.28305256869773004</v>
      </c>
      <c r="AA77" s="3">
        <v>0</v>
      </c>
      <c r="AB77" s="3">
        <v>0</v>
      </c>
      <c r="AC77" s="3">
        <v>0.14444444444444443</v>
      </c>
      <c r="AD77" s="3">
        <v>0</v>
      </c>
      <c r="AE77" s="3">
        <v>0</v>
      </c>
      <c r="AF77" s="3">
        <v>0</v>
      </c>
      <c r="AG77" s="3">
        <v>0</v>
      </c>
      <c r="AH77" s="1" t="s">
        <v>75</v>
      </c>
      <c r="AI77" s="17">
        <v>10</v>
      </c>
      <c r="AJ77" s="1"/>
    </row>
    <row r="78" spans="1:36" x14ac:dyDescent="0.2">
      <c r="A78" s="1" t="s">
        <v>128</v>
      </c>
      <c r="B78" s="1" t="s">
        <v>205</v>
      </c>
      <c r="C78" s="1" t="s">
        <v>265</v>
      </c>
      <c r="D78" s="1" t="s">
        <v>331</v>
      </c>
      <c r="E78" s="3">
        <v>38.366666666666667</v>
      </c>
      <c r="F78" s="3">
        <v>4.3717777777777789</v>
      </c>
      <c r="G78" s="3">
        <v>0</v>
      </c>
      <c r="H78" s="3">
        <v>7.8999999999999987E-2</v>
      </c>
      <c r="I78" s="3">
        <v>0</v>
      </c>
      <c r="J78" s="3">
        <v>0</v>
      </c>
      <c r="K78" s="3">
        <v>0</v>
      </c>
      <c r="L78" s="3">
        <v>3.4498888888888897</v>
      </c>
      <c r="M78" s="3">
        <v>5.6720000000000015</v>
      </c>
      <c r="N78" s="3">
        <v>0</v>
      </c>
      <c r="O78" s="3">
        <f>SUM(Table2[[#This Row],[Qualified Social Work Staff Hours]:[Other Social Work Staff Hours]])/Table2[[#This Row],[MDS Census]]</f>
        <v>0.14783666377063426</v>
      </c>
      <c r="P78" s="3">
        <v>0</v>
      </c>
      <c r="Q78" s="3">
        <v>9.8704444444444466</v>
      </c>
      <c r="R78" s="3">
        <f>SUM(Table2[[#This Row],[Qualified Activities Professional Hours]:[Other Activities Professional Hours]])/Table2[[#This Row],[MDS Census]]</f>
        <v>0.25726614538082831</v>
      </c>
      <c r="S78" s="3">
        <v>1.0680000000000001</v>
      </c>
      <c r="T78" s="3">
        <v>5.1559999999999997</v>
      </c>
      <c r="U78" s="3">
        <v>0</v>
      </c>
      <c r="V78" s="3">
        <f>SUM(Table2[[#This Row],[Occupational Therapist Hours]:[OT Aide Hours]])/Table2[[#This Row],[MDS Census]]</f>
        <v>0.16222415291051259</v>
      </c>
      <c r="W78" s="3">
        <v>1.1185555555555555</v>
      </c>
      <c r="X78" s="3">
        <v>6.3176666666666668</v>
      </c>
      <c r="Y78" s="3">
        <v>0</v>
      </c>
      <c r="Z78" s="3">
        <f>SUM(Table2[[#This Row],[Physical Therapist (PT) Hours]:[PT Aide Hours]])/Table2[[#This Row],[MDS Census]]</f>
        <v>0.19381986678250795</v>
      </c>
      <c r="AA78" s="3">
        <v>0</v>
      </c>
      <c r="AB78" s="3">
        <v>0</v>
      </c>
      <c r="AC78" s="3">
        <v>0</v>
      </c>
      <c r="AD78" s="3">
        <v>0</v>
      </c>
      <c r="AE78" s="3">
        <v>0</v>
      </c>
      <c r="AF78" s="3">
        <v>0</v>
      </c>
      <c r="AG78" s="3">
        <v>1.3111111111111111</v>
      </c>
      <c r="AH78" s="1" t="s">
        <v>76</v>
      </c>
      <c r="AI78" s="17">
        <v>10</v>
      </c>
      <c r="AJ78" s="1"/>
    </row>
    <row r="79" spans="1:36" x14ac:dyDescent="0.2">
      <c r="A79" s="1" t="s">
        <v>128</v>
      </c>
      <c r="B79" s="1" t="s">
        <v>206</v>
      </c>
      <c r="C79" s="1" t="s">
        <v>286</v>
      </c>
      <c r="D79" s="1" t="s">
        <v>339</v>
      </c>
      <c r="E79" s="3">
        <v>53.477777777777774</v>
      </c>
      <c r="F79" s="3">
        <v>5.6</v>
      </c>
      <c r="G79" s="3">
        <v>1.1555555555555554</v>
      </c>
      <c r="H79" s="3">
        <v>0.31111111111111112</v>
      </c>
      <c r="I79" s="3">
        <v>5.0222222222222221</v>
      </c>
      <c r="J79" s="3">
        <v>0</v>
      </c>
      <c r="K79" s="3">
        <v>0</v>
      </c>
      <c r="L79" s="3">
        <v>2.9353333333333347</v>
      </c>
      <c r="M79" s="3">
        <v>9.7305555555555561</v>
      </c>
      <c r="N79" s="3">
        <v>0</v>
      </c>
      <c r="O79" s="3">
        <f>SUM(Table2[[#This Row],[Qualified Social Work Staff Hours]:[Other Social Work Staff Hours]])/Table2[[#This Row],[MDS Census]]</f>
        <v>0.18195512154581345</v>
      </c>
      <c r="P79" s="3">
        <v>4.6500000000000004</v>
      </c>
      <c r="Q79" s="3">
        <v>5.0361111111111114</v>
      </c>
      <c r="R79" s="3">
        <f>SUM(Table2[[#This Row],[Qualified Activities Professional Hours]:[Other Activities Professional Hours]])/Table2[[#This Row],[MDS Census]]</f>
        <v>0.18112403906087682</v>
      </c>
      <c r="S79" s="3">
        <v>4.767999999999998</v>
      </c>
      <c r="T79" s="3">
        <v>4.6265555555555551</v>
      </c>
      <c r="U79" s="3">
        <v>0</v>
      </c>
      <c r="V79" s="3">
        <f>SUM(Table2[[#This Row],[Occupational Therapist Hours]:[OT Aide Hours]])/Table2[[#This Row],[MDS Census]]</f>
        <v>0.17567213795969244</v>
      </c>
      <c r="W79" s="3">
        <v>4.3651111111111121</v>
      </c>
      <c r="X79" s="3">
        <v>3.368777777777777</v>
      </c>
      <c r="Y79" s="3">
        <v>0</v>
      </c>
      <c r="Z79" s="3">
        <f>SUM(Table2[[#This Row],[Physical Therapist (PT) Hours]:[PT Aide Hours]])/Table2[[#This Row],[MDS Census]]</f>
        <v>0.14461874091003532</v>
      </c>
      <c r="AA79" s="3">
        <v>0</v>
      </c>
      <c r="AB79" s="3">
        <v>0</v>
      </c>
      <c r="AC79" s="3">
        <v>0</v>
      </c>
      <c r="AD79" s="3">
        <v>0</v>
      </c>
      <c r="AE79" s="3">
        <v>0</v>
      </c>
      <c r="AF79" s="3">
        <v>0</v>
      </c>
      <c r="AG79" s="3">
        <v>0</v>
      </c>
      <c r="AH79" s="1" t="s">
        <v>77</v>
      </c>
      <c r="AI79" s="17">
        <v>10</v>
      </c>
      <c r="AJ79" s="1"/>
    </row>
    <row r="80" spans="1:36" x14ac:dyDescent="0.2">
      <c r="A80" s="1" t="s">
        <v>128</v>
      </c>
      <c r="B80" s="1" t="s">
        <v>207</v>
      </c>
      <c r="C80" s="1" t="s">
        <v>304</v>
      </c>
      <c r="D80" s="1" t="s">
        <v>324</v>
      </c>
      <c r="E80" s="3">
        <v>23.3</v>
      </c>
      <c r="F80" s="3">
        <v>5.6888888888888891</v>
      </c>
      <c r="G80" s="3">
        <v>0.39222222222222219</v>
      </c>
      <c r="H80" s="3">
        <v>0.13444444444444445</v>
      </c>
      <c r="I80" s="3">
        <v>3.4027777777777777</v>
      </c>
      <c r="J80" s="3">
        <v>0</v>
      </c>
      <c r="K80" s="3">
        <v>0</v>
      </c>
      <c r="L80" s="3">
        <v>0.15166666666666667</v>
      </c>
      <c r="M80" s="3">
        <v>1.9702222222222225</v>
      </c>
      <c r="N80" s="3">
        <v>0</v>
      </c>
      <c r="O80" s="3">
        <f>SUM(Table2[[#This Row],[Qualified Social Work Staff Hours]:[Other Social Work Staff Hours]])/Table2[[#This Row],[MDS Census]]</f>
        <v>8.4558893657606118E-2</v>
      </c>
      <c r="P80" s="3">
        <v>2.8461111111111115</v>
      </c>
      <c r="Q80" s="3">
        <v>5.6612222222222215</v>
      </c>
      <c r="R80" s="3">
        <f>SUM(Table2[[#This Row],[Qualified Activities Professional Hours]:[Other Activities Professional Hours]])/Table2[[#This Row],[MDS Census]]</f>
        <v>0.36512160228898427</v>
      </c>
      <c r="S80" s="3">
        <v>1.8797777777777778</v>
      </c>
      <c r="T80" s="3">
        <v>0</v>
      </c>
      <c r="U80" s="3">
        <v>0</v>
      </c>
      <c r="V80" s="3">
        <f>SUM(Table2[[#This Row],[Occupational Therapist Hours]:[OT Aide Hours]])/Table2[[#This Row],[MDS Census]]</f>
        <v>8.0677157844539812E-2</v>
      </c>
      <c r="W80" s="3">
        <v>0</v>
      </c>
      <c r="X80" s="3">
        <v>0.39388888888888884</v>
      </c>
      <c r="Y80" s="3">
        <v>0</v>
      </c>
      <c r="Z80" s="3">
        <f>SUM(Table2[[#This Row],[Physical Therapist (PT) Hours]:[PT Aide Hours]])/Table2[[#This Row],[MDS Census]]</f>
        <v>1.6905102527420123E-2</v>
      </c>
      <c r="AA80" s="3">
        <v>0</v>
      </c>
      <c r="AB80" s="3">
        <v>0</v>
      </c>
      <c r="AC80" s="3">
        <v>0</v>
      </c>
      <c r="AD80" s="3">
        <v>0</v>
      </c>
      <c r="AE80" s="3">
        <v>0</v>
      </c>
      <c r="AF80" s="3">
        <v>0</v>
      </c>
      <c r="AG80" s="3">
        <v>0</v>
      </c>
      <c r="AH80" s="1" t="s">
        <v>78</v>
      </c>
      <c r="AI80" s="17">
        <v>10</v>
      </c>
      <c r="AJ80" s="1"/>
    </row>
    <row r="81" spans="1:36" x14ac:dyDescent="0.2">
      <c r="A81" s="1" t="s">
        <v>128</v>
      </c>
      <c r="B81" s="1" t="s">
        <v>208</v>
      </c>
      <c r="C81" s="1" t="s">
        <v>259</v>
      </c>
      <c r="D81" s="1" t="s">
        <v>322</v>
      </c>
      <c r="E81" s="3">
        <v>25.944444444444443</v>
      </c>
      <c r="F81" s="3">
        <v>10.022222222222222</v>
      </c>
      <c r="G81" s="3">
        <v>0</v>
      </c>
      <c r="H81" s="3">
        <v>0</v>
      </c>
      <c r="I81" s="3">
        <v>4.3277777777777775</v>
      </c>
      <c r="J81" s="3">
        <v>0</v>
      </c>
      <c r="K81" s="3">
        <v>0</v>
      </c>
      <c r="L81" s="3">
        <v>0</v>
      </c>
      <c r="M81" s="3">
        <v>5.0583333333333336</v>
      </c>
      <c r="N81" s="3">
        <v>0</v>
      </c>
      <c r="O81" s="3">
        <f>SUM(Table2[[#This Row],[Qualified Social Work Staff Hours]:[Other Social Work Staff Hours]])/Table2[[#This Row],[MDS Census]]</f>
        <v>0.19496788008565313</v>
      </c>
      <c r="P81" s="3">
        <v>4.5222222222222221</v>
      </c>
      <c r="Q81" s="3">
        <v>3.4305555555555554</v>
      </c>
      <c r="R81" s="3">
        <f>SUM(Table2[[#This Row],[Qualified Activities Professional Hours]:[Other Activities Professional Hours]])/Table2[[#This Row],[MDS Census]]</f>
        <v>0.30653104925053531</v>
      </c>
      <c r="S81" s="3">
        <v>0</v>
      </c>
      <c r="T81" s="3">
        <v>0</v>
      </c>
      <c r="U81" s="3">
        <v>0</v>
      </c>
      <c r="V81" s="3">
        <f>SUM(Table2[[#This Row],[Occupational Therapist Hours]:[OT Aide Hours]])/Table2[[#This Row],[MDS Census]]</f>
        <v>0</v>
      </c>
      <c r="W81" s="3">
        <v>0</v>
      </c>
      <c r="X81" s="3">
        <v>0</v>
      </c>
      <c r="Y81" s="3">
        <v>0</v>
      </c>
      <c r="Z81" s="3">
        <f>SUM(Table2[[#This Row],[Physical Therapist (PT) Hours]:[PT Aide Hours]])/Table2[[#This Row],[MDS Census]]</f>
        <v>0</v>
      </c>
      <c r="AA81" s="3">
        <v>0</v>
      </c>
      <c r="AB81" s="3">
        <v>0</v>
      </c>
      <c r="AC81" s="3">
        <v>0</v>
      </c>
      <c r="AD81" s="3">
        <v>16.683333333333334</v>
      </c>
      <c r="AE81" s="3">
        <v>0</v>
      </c>
      <c r="AF81" s="3">
        <v>0</v>
      </c>
      <c r="AG81" s="3">
        <v>0</v>
      </c>
      <c r="AH81" s="1" t="s">
        <v>79</v>
      </c>
      <c r="AI81" s="17">
        <v>10</v>
      </c>
      <c r="AJ81" s="1"/>
    </row>
    <row r="82" spans="1:36" x14ac:dyDescent="0.2">
      <c r="A82" s="1" t="s">
        <v>128</v>
      </c>
      <c r="B82" s="1" t="s">
        <v>209</v>
      </c>
      <c r="C82" s="1" t="s">
        <v>298</v>
      </c>
      <c r="D82" s="1" t="s">
        <v>344</v>
      </c>
      <c r="E82" s="3">
        <v>43.8</v>
      </c>
      <c r="F82" s="3">
        <v>5.2</v>
      </c>
      <c r="G82" s="3">
        <v>0.14444444444444443</v>
      </c>
      <c r="H82" s="3">
        <v>0</v>
      </c>
      <c r="I82" s="3">
        <v>1.0555555555555556</v>
      </c>
      <c r="J82" s="3">
        <v>0</v>
      </c>
      <c r="K82" s="3">
        <v>0</v>
      </c>
      <c r="L82" s="3">
        <v>3.2961111111111103</v>
      </c>
      <c r="M82" s="3">
        <v>6.0437777777777786</v>
      </c>
      <c r="N82" s="3">
        <v>4.4681111111111109</v>
      </c>
      <c r="O82" s="3">
        <f>SUM(Table2[[#This Row],[Qualified Social Work Staff Hours]:[Other Social Work Staff Hours]])/Table2[[#This Row],[MDS Census]]</f>
        <v>0.23999746321664134</v>
      </c>
      <c r="P82" s="3">
        <v>1.9750000000000001</v>
      </c>
      <c r="Q82" s="3">
        <v>3.9821111111111112</v>
      </c>
      <c r="R82" s="3">
        <f>SUM(Table2[[#This Row],[Qualified Activities Professional Hours]:[Other Activities Professional Hours]])/Table2[[#This Row],[MDS Census]]</f>
        <v>0.13600710299340438</v>
      </c>
      <c r="S82" s="3">
        <v>3.8106666666666666</v>
      </c>
      <c r="T82" s="3">
        <v>2.8472222222222228</v>
      </c>
      <c r="U82" s="3">
        <v>0</v>
      </c>
      <c r="V82" s="3">
        <f>SUM(Table2[[#This Row],[Occupational Therapist Hours]:[OT Aide Hours]])/Table2[[#This Row],[MDS Census]]</f>
        <v>0.15200659563673263</v>
      </c>
      <c r="W82" s="3">
        <v>2.1107777777777783</v>
      </c>
      <c r="X82" s="3">
        <v>4.5456666666666683</v>
      </c>
      <c r="Y82" s="3">
        <v>0</v>
      </c>
      <c r="Z82" s="3">
        <f>SUM(Table2[[#This Row],[Physical Therapist (PT) Hours]:[PT Aide Hours]])/Table2[[#This Row],[MDS Census]]</f>
        <v>0.15197361745306956</v>
      </c>
      <c r="AA82" s="3">
        <v>0</v>
      </c>
      <c r="AB82" s="3">
        <v>0</v>
      </c>
      <c r="AC82" s="3">
        <v>0</v>
      </c>
      <c r="AD82" s="3">
        <v>0</v>
      </c>
      <c r="AE82" s="3">
        <v>0</v>
      </c>
      <c r="AF82" s="3">
        <v>0</v>
      </c>
      <c r="AG82" s="3">
        <v>0</v>
      </c>
      <c r="AH82" s="1" t="s">
        <v>80</v>
      </c>
      <c r="AI82" s="17">
        <v>10</v>
      </c>
      <c r="AJ82" s="1"/>
    </row>
    <row r="83" spans="1:36" x14ac:dyDescent="0.2">
      <c r="A83" s="1" t="s">
        <v>128</v>
      </c>
      <c r="B83" s="1" t="s">
        <v>210</v>
      </c>
      <c r="C83" s="1" t="s">
        <v>263</v>
      </c>
      <c r="D83" s="1" t="s">
        <v>334</v>
      </c>
      <c r="E83" s="3">
        <v>39.244444444444447</v>
      </c>
      <c r="F83" s="3">
        <v>10.691666666666666</v>
      </c>
      <c r="G83" s="3">
        <v>0</v>
      </c>
      <c r="H83" s="3">
        <v>0</v>
      </c>
      <c r="I83" s="3">
        <v>8.0472222222222225</v>
      </c>
      <c r="J83" s="3">
        <v>0</v>
      </c>
      <c r="K83" s="3">
        <v>0</v>
      </c>
      <c r="L83" s="3">
        <v>3.6757777777777769</v>
      </c>
      <c r="M83" s="3">
        <v>4.7194444444444441</v>
      </c>
      <c r="N83" s="3">
        <v>0</v>
      </c>
      <c r="O83" s="3">
        <f>SUM(Table2[[#This Row],[Qualified Social Work Staff Hours]:[Other Social Work Staff Hours]])/Table2[[#This Row],[MDS Census]]</f>
        <v>0.12025764439411096</v>
      </c>
      <c r="P83" s="3">
        <v>5.1083333333333334</v>
      </c>
      <c r="Q83" s="3">
        <v>0</v>
      </c>
      <c r="R83" s="3">
        <f>SUM(Table2[[#This Row],[Qualified Activities Professional Hours]:[Other Activities Professional Hours]])/Table2[[#This Row],[MDS Census]]</f>
        <v>0.13016704416761041</v>
      </c>
      <c r="S83" s="3">
        <v>5.3727777777777774</v>
      </c>
      <c r="T83" s="3">
        <v>0</v>
      </c>
      <c r="U83" s="3">
        <v>0</v>
      </c>
      <c r="V83" s="3">
        <f>SUM(Table2[[#This Row],[Occupational Therapist Hours]:[OT Aide Hours]])/Table2[[#This Row],[MDS Census]]</f>
        <v>0.13690543601359001</v>
      </c>
      <c r="W83" s="3">
        <v>2.9547777777777773</v>
      </c>
      <c r="X83" s="3">
        <v>3.2880000000000007</v>
      </c>
      <c r="Y83" s="3">
        <v>0</v>
      </c>
      <c r="Z83" s="3">
        <f>SUM(Table2[[#This Row],[Physical Therapist (PT) Hours]:[PT Aide Hours]])/Table2[[#This Row],[MDS Census]]</f>
        <v>0.15907417893544734</v>
      </c>
      <c r="AA83" s="3">
        <v>0</v>
      </c>
      <c r="AB83" s="3">
        <v>0</v>
      </c>
      <c r="AC83" s="3">
        <v>0</v>
      </c>
      <c r="AD83" s="3">
        <v>19.06388888888889</v>
      </c>
      <c r="AE83" s="3">
        <v>0</v>
      </c>
      <c r="AF83" s="3">
        <v>0</v>
      </c>
      <c r="AG83" s="3">
        <v>0</v>
      </c>
      <c r="AH83" s="1" t="s">
        <v>81</v>
      </c>
      <c r="AI83" s="17">
        <v>10</v>
      </c>
      <c r="AJ83" s="1"/>
    </row>
    <row r="84" spans="1:36" x14ac:dyDescent="0.2">
      <c r="A84" s="1" t="s">
        <v>128</v>
      </c>
      <c r="B84" s="1" t="s">
        <v>211</v>
      </c>
      <c r="C84" s="1" t="s">
        <v>271</v>
      </c>
      <c r="D84" s="1" t="s">
        <v>335</v>
      </c>
      <c r="E84" s="3">
        <v>36.466666666666669</v>
      </c>
      <c r="F84" s="3">
        <v>5.6</v>
      </c>
      <c r="G84" s="3">
        <v>0.13333333333333333</v>
      </c>
      <c r="H84" s="3">
        <v>0</v>
      </c>
      <c r="I84" s="3">
        <v>0.66666666666666663</v>
      </c>
      <c r="J84" s="3">
        <v>0</v>
      </c>
      <c r="K84" s="3">
        <v>0</v>
      </c>
      <c r="L84" s="3">
        <v>2.0435555555555553</v>
      </c>
      <c r="M84" s="3">
        <v>4.6416666666666666</v>
      </c>
      <c r="N84" s="3">
        <v>0</v>
      </c>
      <c r="O84" s="3">
        <f>SUM(Table2[[#This Row],[Qualified Social Work Staff Hours]:[Other Social Work Staff Hours]])/Table2[[#This Row],[MDS Census]]</f>
        <v>0.12728519195612431</v>
      </c>
      <c r="P84" s="3">
        <v>4.2444444444444445</v>
      </c>
      <c r="Q84" s="3">
        <v>0</v>
      </c>
      <c r="R84" s="3">
        <f>SUM(Table2[[#This Row],[Qualified Activities Professional Hours]:[Other Activities Professional Hours]])/Table2[[#This Row],[MDS Census]]</f>
        <v>0.11639244363193174</v>
      </c>
      <c r="S84" s="3">
        <v>0.56033333333333346</v>
      </c>
      <c r="T84" s="3">
        <v>3.893444444444444</v>
      </c>
      <c r="U84" s="3">
        <v>0</v>
      </c>
      <c r="V84" s="3">
        <f>SUM(Table2[[#This Row],[Occupational Therapist Hours]:[OT Aide Hours]])/Table2[[#This Row],[MDS Census]]</f>
        <v>0.12213284582571603</v>
      </c>
      <c r="W84" s="3">
        <v>0.54333333333333333</v>
      </c>
      <c r="X84" s="3">
        <v>3.7516666666666656</v>
      </c>
      <c r="Y84" s="3">
        <v>0</v>
      </c>
      <c r="Z84" s="3">
        <f>SUM(Table2[[#This Row],[Physical Therapist (PT) Hours]:[PT Aide Hours]])/Table2[[#This Row],[MDS Census]]</f>
        <v>0.11777879341864714</v>
      </c>
      <c r="AA84" s="3">
        <v>0</v>
      </c>
      <c r="AB84" s="3">
        <v>0</v>
      </c>
      <c r="AC84" s="3">
        <v>0</v>
      </c>
      <c r="AD84" s="3">
        <v>0</v>
      </c>
      <c r="AE84" s="3">
        <v>0</v>
      </c>
      <c r="AF84" s="3">
        <v>0</v>
      </c>
      <c r="AG84" s="3">
        <v>0</v>
      </c>
      <c r="AH84" s="1" t="s">
        <v>82</v>
      </c>
      <c r="AI84" s="17">
        <v>10</v>
      </c>
      <c r="AJ84" s="1"/>
    </row>
    <row r="85" spans="1:36" x14ac:dyDescent="0.2">
      <c r="A85" s="1" t="s">
        <v>128</v>
      </c>
      <c r="B85" s="1" t="s">
        <v>212</v>
      </c>
      <c r="C85" s="1" t="s">
        <v>305</v>
      </c>
      <c r="D85" s="1" t="s">
        <v>341</v>
      </c>
      <c r="E85" s="3">
        <v>29.711111111111112</v>
      </c>
      <c r="F85" s="3">
        <v>5.4670000000000032</v>
      </c>
      <c r="G85" s="3">
        <v>0.3888888888888889</v>
      </c>
      <c r="H85" s="3">
        <v>3.111111111111111E-2</v>
      </c>
      <c r="I85" s="3">
        <v>0.64444444444444449</v>
      </c>
      <c r="J85" s="3">
        <v>0</v>
      </c>
      <c r="K85" s="3">
        <v>0</v>
      </c>
      <c r="L85" s="3">
        <v>1.3454444444444444</v>
      </c>
      <c r="M85" s="3">
        <v>5.5372222222222227</v>
      </c>
      <c r="N85" s="3">
        <v>4.6113333333333335</v>
      </c>
      <c r="O85" s="3">
        <f>SUM(Table2[[#This Row],[Qualified Social Work Staff Hours]:[Other Social Work Staff Hours]])/Table2[[#This Row],[MDS Census]]</f>
        <v>0.34157442034405389</v>
      </c>
      <c r="P85" s="3">
        <v>5.2997777777777788</v>
      </c>
      <c r="Q85" s="3">
        <v>12.916333333333334</v>
      </c>
      <c r="R85" s="3">
        <f>SUM(Table2[[#This Row],[Qualified Activities Professional Hours]:[Other Activities Professional Hours]])/Table2[[#This Row],[MDS Census]]</f>
        <v>0.61310770381451007</v>
      </c>
      <c r="S85" s="3">
        <v>2.5157777777777781</v>
      </c>
      <c r="T85" s="3">
        <v>6.0236666666666663</v>
      </c>
      <c r="U85" s="3">
        <v>0</v>
      </c>
      <c r="V85" s="3">
        <f>SUM(Table2[[#This Row],[Occupational Therapist Hours]:[OT Aide Hours]])/Table2[[#This Row],[MDS Census]]</f>
        <v>0.28741585639491402</v>
      </c>
      <c r="W85" s="3">
        <v>4.1751111111111099</v>
      </c>
      <c r="X85" s="3">
        <v>6.7494444444444435</v>
      </c>
      <c r="Y85" s="3">
        <v>0</v>
      </c>
      <c r="Z85" s="3">
        <f>SUM(Table2[[#This Row],[Physical Therapist (PT) Hours]:[PT Aide Hours]])/Table2[[#This Row],[MDS Census]]</f>
        <v>0.36769259536275234</v>
      </c>
      <c r="AA85" s="3">
        <v>0</v>
      </c>
      <c r="AB85" s="3">
        <v>0</v>
      </c>
      <c r="AC85" s="3">
        <v>0</v>
      </c>
      <c r="AD85" s="3">
        <v>0</v>
      </c>
      <c r="AE85" s="3">
        <v>0</v>
      </c>
      <c r="AF85" s="3">
        <v>0</v>
      </c>
      <c r="AG85" s="3">
        <v>0</v>
      </c>
      <c r="AH85" s="1" t="s">
        <v>83</v>
      </c>
      <c r="AI85" s="17">
        <v>10</v>
      </c>
      <c r="AJ85" s="1"/>
    </row>
    <row r="86" spans="1:36" x14ac:dyDescent="0.2">
      <c r="A86" s="1" t="s">
        <v>128</v>
      </c>
      <c r="B86" s="1" t="s">
        <v>213</v>
      </c>
      <c r="C86" s="1" t="s">
        <v>283</v>
      </c>
      <c r="D86" s="1" t="s">
        <v>337</v>
      </c>
      <c r="E86" s="3">
        <v>26.833333333333332</v>
      </c>
      <c r="F86" s="3">
        <v>5.6014444444444456</v>
      </c>
      <c r="G86" s="3">
        <v>0</v>
      </c>
      <c r="H86" s="3">
        <v>0</v>
      </c>
      <c r="I86" s="3">
        <v>0</v>
      </c>
      <c r="J86" s="3">
        <v>0</v>
      </c>
      <c r="K86" s="3">
        <v>0</v>
      </c>
      <c r="L86" s="3">
        <v>0.21144444444444441</v>
      </c>
      <c r="M86" s="3">
        <v>5.2004444444444431</v>
      </c>
      <c r="N86" s="3">
        <v>0</v>
      </c>
      <c r="O86" s="3">
        <f>SUM(Table2[[#This Row],[Qualified Social Work Staff Hours]:[Other Social Work Staff Hours]])/Table2[[#This Row],[MDS Census]]</f>
        <v>0.19380538302277428</v>
      </c>
      <c r="P86" s="3">
        <v>0</v>
      </c>
      <c r="Q86" s="3">
        <v>6.1050000000000031</v>
      </c>
      <c r="R86" s="3">
        <f>SUM(Table2[[#This Row],[Qualified Activities Professional Hours]:[Other Activities Professional Hours]])/Table2[[#This Row],[MDS Census]]</f>
        <v>0.22751552795031069</v>
      </c>
      <c r="S86" s="3">
        <v>0.47299999999999992</v>
      </c>
      <c r="T86" s="3">
        <v>4.7218888888888877</v>
      </c>
      <c r="U86" s="3">
        <v>0</v>
      </c>
      <c r="V86" s="3">
        <f>SUM(Table2[[#This Row],[Occupational Therapist Hours]:[OT Aide Hours]])/Table2[[#This Row],[MDS Census]]</f>
        <v>0.19359834368530016</v>
      </c>
      <c r="W86" s="3">
        <v>1.2953333333333332</v>
      </c>
      <c r="X86" s="3">
        <v>4.0324444444444456</v>
      </c>
      <c r="Y86" s="3">
        <v>0</v>
      </c>
      <c r="Z86" s="3">
        <f>SUM(Table2[[#This Row],[Physical Therapist (PT) Hours]:[PT Aide Hours]])/Table2[[#This Row],[MDS Census]]</f>
        <v>0.19855072463768123</v>
      </c>
      <c r="AA86" s="3">
        <v>0</v>
      </c>
      <c r="AB86" s="3">
        <v>0</v>
      </c>
      <c r="AC86" s="3">
        <v>0</v>
      </c>
      <c r="AD86" s="3">
        <v>0</v>
      </c>
      <c r="AE86" s="3">
        <v>0</v>
      </c>
      <c r="AF86" s="3">
        <v>0</v>
      </c>
      <c r="AG86" s="3">
        <v>0</v>
      </c>
      <c r="AH86" s="1" t="s">
        <v>84</v>
      </c>
      <c r="AI86" s="17">
        <v>10</v>
      </c>
      <c r="AJ86" s="1"/>
    </row>
    <row r="87" spans="1:36" x14ac:dyDescent="0.2">
      <c r="A87" s="1" t="s">
        <v>128</v>
      </c>
      <c r="B87" s="1" t="s">
        <v>214</v>
      </c>
      <c r="C87" s="1" t="s">
        <v>306</v>
      </c>
      <c r="D87" s="1" t="s">
        <v>322</v>
      </c>
      <c r="E87" s="3">
        <v>51.511111111111113</v>
      </c>
      <c r="F87" s="3">
        <v>5.6</v>
      </c>
      <c r="G87" s="3">
        <v>0.44444444444444442</v>
      </c>
      <c r="H87" s="3">
        <v>0</v>
      </c>
      <c r="I87" s="3">
        <v>2.2000000000000002</v>
      </c>
      <c r="J87" s="3">
        <v>0</v>
      </c>
      <c r="K87" s="3">
        <v>0</v>
      </c>
      <c r="L87" s="3">
        <v>5.0016666666666678</v>
      </c>
      <c r="M87" s="3">
        <v>0</v>
      </c>
      <c r="N87" s="3">
        <v>5.0611111111111109</v>
      </c>
      <c r="O87" s="3">
        <f>SUM(Table2[[#This Row],[Qualified Social Work Staff Hours]:[Other Social Work Staff Hours]])/Table2[[#This Row],[MDS Census]]</f>
        <v>9.8252804141501282E-2</v>
      </c>
      <c r="P87" s="3">
        <v>5.0888888888888886</v>
      </c>
      <c r="Q87" s="3">
        <v>3.3027777777777776</v>
      </c>
      <c r="R87" s="3">
        <f>SUM(Table2[[#This Row],[Qualified Activities Professional Hours]:[Other Activities Professional Hours]])/Table2[[#This Row],[MDS Census]]</f>
        <v>0.16290983606557374</v>
      </c>
      <c r="S87" s="3">
        <v>9.9936666666666678</v>
      </c>
      <c r="T87" s="3">
        <v>4.5446666666666644</v>
      </c>
      <c r="U87" s="3">
        <v>0</v>
      </c>
      <c r="V87" s="3">
        <f>SUM(Table2[[#This Row],[Occupational Therapist Hours]:[OT Aide Hours]])/Table2[[#This Row],[MDS Census]]</f>
        <v>0.28223684210526312</v>
      </c>
      <c r="W87" s="3">
        <v>11.133777777777777</v>
      </c>
      <c r="X87" s="3">
        <v>7.8901111111111097</v>
      </c>
      <c r="Y87" s="3">
        <v>0</v>
      </c>
      <c r="Z87" s="3">
        <f>SUM(Table2[[#This Row],[Physical Therapist (PT) Hours]:[PT Aide Hours]])/Table2[[#This Row],[MDS Census]]</f>
        <v>0.36931622088006899</v>
      </c>
      <c r="AA87" s="3">
        <v>0</v>
      </c>
      <c r="AB87" s="3">
        <v>0</v>
      </c>
      <c r="AC87" s="3">
        <v>0</v>
      </c>
      <c r="AD87" s="3">
        <v>0</v>
      </c>
      <c r="AE87" s="3">
        <v>0</v>
      </c>
      <c r="AF87" s="3">
        <v>0</v>
      </c>
      <c r="AG87" s="3">
        <v>0</v>
      </c>
      <c r="AH87" s="1" t="s">
        <v>85</v>
      </c>
      <c r="AI87" s="17">
        <v>10</v>
      </c>
      <c r="AJ87" s="1"/>
    </row>
    <row r="88" spans="1:36" x14ac:dyDescent="0.2">
      <c r="A88" s="1" t="s">
        <v>128</v>
      </c>
      <c r="B88" s="1" t="s">
        <v>215</v>
      </c>
      <c r="C88" s="1" t="s">
        <v>259</v>
      </c>
      <c r="D88" s="1" t="s">
        <v>322</v>
      </c>
      <c r="E88" s="3">
        <v>57.2</v>
      </c>
      <c r="F88" s="3">
        <v>5.6888888888888891</v>
      </c>
      <c r="G88" s="3">
        <v>3.0111111111111111</v>
      </c>
      <c r="H88" s="3">
        <v>0</v>
      </c>
      <c r="I88" s="3">
        <v>3.4694444444444446</v>
      </c>
      <c r="J88" s="3">
        <v>0</v>
      </c>
      <c r="K88" s="3">
        <v>0</v>
      </c>
      <c r="L88" s="3">
        <v>5.6371111111111087</v>
      </c>
      <c r="M88" s="3">
        <v>0</v>
      </c>
      <c r="N88" s="3">
        <v>12.044444444444444</v>
      </c>
      <c r="O88" s="3">
        <f>SUM(Table2[[#This Row],[Qualified Social Work Staff Hours]:[Other Social Work Staff Hours]])/Table2[[#This Row],[MDS Census]]</f>
        <v>0.21056721056721056</v>
      </c>
      <c r="P88" s="3">
        <v>5.0777777777777775</v>
      </c>
      <c r="Q88" s="3">
        <v>5.2972222222222225</v>
      </c>
      <c r="R88" s="3">
        <f>SUM(Table2[[#This Row],[Qualified Activities Professional Hours]:[Other Activities Professional Hours]])/Table2[[#This Row],[MDS Census]]</f>
        <v>0.18138111888111888</v>
      </c>
      <c r="S88" s="3">
        <v>19.381777777777771</v>
      </c>
      <c r="T88" s="3">
        <v>18.114555555555551</v>
      </c>
      <c r="U88" s="3">
        <v>0</v>
      </c>
      <c r="V88" s="3">
        <f>SUM(Table2[[#This Row],[Occupational Therapist Hours]:[OT Aide Hours]])/Table2[[#This Row],[MDS Census]]</f>
        <v>0.65553030303030291</v>
      </c>
      <c r="W88" s="3">
        <v>15.68355555555555</v>
      </c>
      <c r="X88" s="3">
        <v>16.844555555555552</v>
      </c>
      <c r="Y88" s="3">
        <v>4.8735555555555559</v>
      </c>
      <c r="Z88" s="3">
        <f>SUM(Table2[[#This Row],[Physical Therapist (PT) Hours]:[PT Aide Hours]])/Table2[[#This Row],[MDS Census]]</f>
        <v>0.65387529137529121</v>
      </c>
      <c r="AA88" s="3">
        <v>0</v>
      </c>
      <c r="AB88" s="3">
        <v>0</v>
      </c>
      <c r="AC88" s="3">
        <v>0</v>
      </c>
      <c r="AD88" s="3">
        <v>0</v>
      </c>
      <c r="AE88" s="3">
        <v>0</v>
      </c>
      <c r="AF88" s="3">
        <v>0</v>
      </c>
      <c r="AG88" s="3">
        <v>0</v>
      </c>
      <c r="AH88" s="1" t="s">
        <v>86</v>
      </c>
      <c r="AI88" s="17">
        <v>10</v>
      </c>
      <c r="AJ88" s="1"/>
    </row>
    <row r="89" spans="1:36" x14ac:dyDescent="0.2">
      <c r="A89" s="1" t="s">
        <v>128</v>
      </c>
      <c r="B89" s="1" t="s">
        <v>216</v>
      </c>
      <c r="C89" s="1" t="s">
        <v>263</v>
      </c>
      <c r="D89" s="1" t="s">
        <v>334</v>
      </c>
      <c r="E89" s="3">
        <v>35.388888888888886</v>
      </c>
      <c r="F89" s="3">
        <v>5.6888888888888891</v>
      </c>
      <c r="G89" s="3">
        <v>0.1111111111111111</v>
      </c>
      <c r="H89" s="3">
        <v>0</v>
      </c>
      <c r="I89" s="3">
        <v>0.21111111111111111</v>
      </c>
      <c r="J89" s="3">
        <v>0</v>
      </c>
      <c r="K89" s="3">
        <v>0</v>
      </c>
      <c r="L89" s="3">
        <v>0.9753333333333335</v>
      </c>
      <c r="M89" s="3">
        <v>6.0275555555555558</v>
      </c>
      <c r="N89" s="3">
        <v>0</v>
      </c>
      <c r="O89" s="3">
        <f>SUM(Table2[[#This Row],[Qualified Social Work Staff Hours]:[Other Social Work Staff Hours]])/Table2[[#This Row],[MDS Census]]</f>
        <v>0.17032339089481949</v>
      </c>
      <c r="P89" s="3">
        <v>1.5948888888888888</v>
      </c>
      <c r="Q89" s="3">
        <v>0</v>
      </c>
      <c r="R89" s="3">
        <f>SUM(Table2[[#This Row],[Qualified Activities Professional Hours]:[Other Activities Professional Hours]])/Table2[[#This Row],[MDS Census]]</f>
        <v>4.5067503924646785E-2</v>
      </c>
      <c r="S89" s="3">
        <v>1.6974444444444443</v>
      </c>
      <c r="T89" s="3">
        <v>0.17288888888888887</v>
      </c>
      <c r="U89" s="3">
        <v>0</v>
      </c>
      <c r="V89" s="3">
        <f>SUM(Table2[[#This Row],[Occupational Therapist Hours]:[OT Aide Hours]])/Table2[[#This Row],[MDS Census]]</f>
        <v>5.2850863422291991E-2</v>
      </c>
      <c r="W89" s="3">
        <v>0.80666666666666675</v>
      </c>
      <c r="X89" s="3">
        <v>0.56511111111111101</v>
      </c>
      <c r="Y89" s="3">
        <v>0</v>
      </c>
      <c r="Z89" s="3">
        <f>SUM(Table2[[#This Row],[Physical Therapist (PT) Hours]:[PT Aide Hours]])/Table2[[#This Row],[MDS Census]]</f>
        <v>3.876295133437991E-2</v>
      </c>
      <c r="AA89" s="3">
        <v>0</v>
      </c>
      <c r="AB89" s="3">
        <v>0</v>
      </c>
      <c r="AC89" s="3">
        <v>0</v>
      </c>
      <c r="AD89" s="3">
        <v>22.634555555555544</v>
      </c>
      <c r="AE89" s="3">
        <v>0</v>
      </c>
      <c r="AF89" s="3">
        <v>0</v>
      </c>
      <c r="AG89" s="3">
        <v>0</v>
      </c>
      <c r="AH89" s="1" t="s">
        <v>87</v>
      </c>
      <c r="AI89" s="17">
        <v>10</v>
      </c>
      <c r="AJ89" s="1"/>
    </row>
    <row r="90" spans="1:36" x14ac:dyDescent="0.2">
      <c r="A90" s="1" t="s">
        <v>128</v>
      </c>
      <c r="B90" s="1" t="s">
        <v>217</v>
      </c>
      <c r="C90" s="1" t="s">
        <v>293</v>
      </c>
      <c r="D90" s="1" t="s">
        <v>332</v>
      </c>
      <c r="E90" s="3">
        <v>39.233333333333334</v>
      </c>
      <c r="F90" s="3">
        <v>5.2444444444444445</v>
      </c>
      <c r="G90" s="3">
        <v>0.75555555555555554</v>
      </c>
      <c r="H90" s="3">
        <v>0.21111111111111111</v>
      </c>
      <c r="I90" s="3">
        <v>0.74444444444444446</v>
      </c>
      <c r="J90" s="3">
        <v>0</v>
      </c>
      <c r="K90" s="3">
        <v>0</v>
      </c>
      <c r="L90" s="3">
        <v>3.3046666666666664</v>
      </c>
      <c r="M90" s="3">
        <v>4.9666666666666668</v>
      </c>
      <c r="N90" s="3">
        <v>0</v>
      </c>
      <c r="O90" s="3">
        <f>SUM(Table2[[#This Row],[Qualified Social Work Staff Hours]:[Other Social Work Staff Hours]])/Table2[[#This Row],[MDS Census]]</f>
        <v>0.12659303313508921</v>
      </c>
      <c r="P90" s="3">
        <v>3.0111111111111111</v>
      </c>
      <c r="Q90" s="3">
        <v>3.0555555555555555E-2</v>
      </c>
      <c r="R90" s="3">
        <f>SUM(Table2[[#This Row],[Qualified Activities Professional Hours]:[Other Activities Professional Hours]])/Table2[[#This Row],[MDS Census]]</f>
        <v>7.7527612574341542E-2</v>
      </c>
      <c r="S90" s="3">
        <v>2.9830000000000001</v>
      </c>
      <c r="T90" s="3">
        <v>3.6260000000000003</v>
      </c>
      <c r="U90" s="3">
        <v>0</v>
      </c>
      <c r="V90" s="3">
        <f>SUM(Table2[[#This Row],[Occupational Therapist Hours]:[OT Aide Hours]])/Table2[[#This Row],[MDS Census]]</f>
        <v>0.16845369583687339</v>
      </c>
      <c r="W90" s="3">
        <v>4.6426666666666661</v>
      </c>
      <c r="X90" s="3">
        <v>3.7078888888888879</v>
      </c>
      <c r="Y90" s="3">
        <v>0</v>
      </c>
      <c r="Z90" s="3">
        <f>SUM(Table2[[#This Row],[Physical Therapist (PT) Hours]:[PT Aide Hours]])/Table2[[#This Row],[MDS Census]]</f>
        <v>0.21284338714245252</v>
      </c>
      <c r="AA90" s="3">
        <v>0</v>
      </c>
      <c r="AB90" s="3">
        <v>0</v>
      </c>
      <c r="AC90" s="3">
        <v>0</v>
      </c>
      <c r="AD90" s="3">
        <v>0</v>
      </c>
      <c r="AE90" s="3">
        <v>0</v>
      </c>
      <c r="AF90" s="3">
        <v>0</v>
      </c>
      <c r="AG90" s="3">
        <v>0</v>
      </c>
      <c r="AH90" s="1" t="s">
        <v>88</v>
      </c>
      <c r="AI90" s="17">
        <v>10</v>
      </c>
      <c r="AJ90" s="1"/>
    </row>
    <row r="91" spans="1:36" x14ac:dyDescent="0.2">
      <c r="A91" s="1" t="s">
        <v>128</v>
      </c>
      <c r="B91" s="1" t="s">
        <v>218</v>
      </c>
      <c r="C91" s="1" t="s">
        <v>307</v>
      </c>
      <c r="D91" s="1" t="s">
        <v>322</v>
      </c>
      <c r="E91" s="3">
        <v>54.111111111111114</v>
      </c>
      <c r="F91" s="3">
        <v>9.0666666666666664</v>
      </c>
      <c r="G91" s="3">
        <v>0.47222222222222221</v>
      </c>
      <c r="H91" s="3">
        <v>0.31111111111111112</v>
      </c>
      <c r="I91" s="3">
        <v>0.14444444444444443</v>
      </c>
      <c r="J91" s="3">
        <v>0</v>
      </c>
      <c r="K91" s="3">
        <v>0</v>
      </c>
      <c r="L91" s="3">
        <v>0.96799999999999986</v>
      </c>
      <c r="M91" s="3">
        <v>10.052777777777777</v>
      </c>
      <c r="N91" s="3">
        <v>0</v>
      </c>
      <c r="O91" s="3">
        <f>SUM(Table2[[#This Row],[Qualified Social Work Staff Hours]:[Other Social Work Staff Hours]])/Table2[[#This Row],[MDS Census]]</f>
        <v>0.18578028747433262</v>
      </c>
      <c r="P91" s="3">
        <v>4.9722222222222223</v>
      </c>
      <c r="Q91" s="3">
        <v>8.0083333333333329</v>
      </c>
      <c r="R91" s="3">
        <f>SUM(Table2[[#This Row],[Qualified Activities Professional Hours]:[Other Activities Professional Hours]])/Table2[[#This Row],[MDS Census]]</f>
        <v>0.23988706365503076</v>
      </c>
      <c r="S91" s="3">
        <v>3.0900000000000007</v>
      </c>
      <c r="T91" s="3">
        <v>0.51666666666666672</v>
      </c>
      <c r="U91" s="3">
        <v>0</v>
      </c>
      <c r="V91" s="3">
        <f>SUM(Table2[[#This Row],[Occupational Therapist Hours]:[OT Aide Hours]])/Table2[[#This Row],[MDS Census]]</f>
        <v>6.6652977412731018E-2</v>
      </c>
      <c r="W91" s="3">
        <v>1.6333333333333331</v>
      </c>
      <c r="X91" s="3">
        <v>2.1905555555555551</v>
      </c>
      <c r="Y91" s="3">
        <v>0</v>
      </c>
      <c r="Z91" s="3">
        <f>SUM(Table2[[#This Row],[Physical Therapist (PT) Hours]:[PT Aide Hours]])/Table2[[#This Row],[MDS Census]]</f>
        <v>7.0667351129363426E-2</v>
      </c>
      <c r="AA91" s="3">
        <v>0</v>
      </c>
      <c r="AB91" s="3">
        <v>0</v>
      </c>
      <c r="AC91" s="3">
        <v>0</v>
      </c>
      <c r="AD91" s="3">
        <v>0</v>
      </c>
      <c r="AE91" s="3">
        <v>0</v>
      </c>
      <c r="AF91" s="3">
        <v>0</v>
      </c>
      <c r="AG91" s="3">
        <v>0</v>
      </c>
      <c r="AH91" s="1" t="s">
        <v>89</v>
      </c>
      <c r="AI91" s="17">
        <v>10</v>
      </c>
      <c r="AJ91" s="1"/>
    </row>
    <row r="92" spans="1:36" x14ac:dyDescent="0.2">
      <c r="A92" s="1" t="s">
        <v>128</v>
      </c>
      <c r="B92" s="1" t="s">
        <v>219</v>
      </c>
      <c r="C92" s="1" t="s">
        <v>306</v>
      </c>
      <c r="D92" s="1" t="s">
        <v>322</v>
      </c>
      <c r="E92" s="3">
        <v>39.799999999999997</v>
      </c>
      <c r="F92" s="3">
        <v>5.6</v>
      </c>
      <c r="G92" s="3">
        <v>0</v>
      </c>
      <c r="H92" s="3">
        <v>0</v>
      </c>
      <c r="I92" s="3">
        <v>0</v>
      </c>
      <c r="J92" s="3">
        <v>0</v>
      </c>
      <c r="K92" s="3">
        <v>0</v>
      </c>
      <c r="L92" s="3">
        <v>0.83833333333333349</v>
      </c>
      <c r="M92" s="3">
        <v>5.4222222222222225</v>
      </c>
      <c r="N92" s="3">
        <v>0</v>
      </c>
      <c r="O92" s="3">
        <f>SUM(Table2[[#This Row],[Qualified Social Work Staff Hours]:[Other Social Work Staff Hours]])/Table2[[#This Row],[MDS Census]]</f>
        <v>0.13623673925181465</v>
      </c>
      <c r="P92" s="3">
        <v>5.4222222222222225</v>
      </c>
      <c r="Q92" s="3">
        <v>1.0029999999999999</v>
      </c>
      <c r="R92" s="3">
        <f>SUM(Table2[[#This Row],[Qualified Activities Professional Hours]:[Other Activities Professional Hours]])/Table2[[#This Row],[MDS Census]]</f>
        <v>0.16143774427694027</v>
      </c>
      <c r="S92" s="3">
        <v>5.3267777777777789</v>
      </c>
      <c r="T92" s="3">
        <v>7.877777777777778E-2</v>
      </c>
      <c r="U92" s="3">
        <v>0</v>
      </c>
      <c r="V92" s="3">
        <f>SUM(Table2[[#This Row],[Occupational Therapist Hours]:[OT Aide Hours]])/Table2[[#This Row],[MDS Census]]</f>
        <v>0.13581797878280294</v>
      </c>
      <c r="W92" s="3">
        <v>0.98755555555555552</v>
      </c>
      <c r="X92" s="3">
        <v>1.3686666666666671</v>
      </c>
      <c r="Y92" s="3">
        <v>0</v>
      </c>
      <c r="Z92" s="3">
        <f>SUM(Table2[[#This Row],[Physical Therapist (PT) Hours]:[PT Aide Hours]])/Table2[[#This Row],[MDS Census]]</f>
        <v>5.9201563372417658E-2</v>
      </c>
      <c r="AA92" s="3">
        <v>0</v>
      </c>
      <c r="AB92" s="3">
        <v>0</v>
      </c>
      <c r="AC92" s="3">
        <v>0</v>
      </c>
      <c r="AD92" s="3">
        <v>0</v>
      </c>
      <c r="AE92" s="3">
        <v>0</v>
      </c>
      <c r="AF92" s="3">
        <v>0</v>
      </c>
      <c r="AG92" s="3">
        <v>0</v>
      </c>
      <c r="AH92" s="1" t="s">
        <v>90</v>
      </c>
      <c r="AI92" s="17">
        <v>10</v>
      </c>
      <c r="AJ92" s="1"/>
    </row>
    <row r="93" spans="1:36" x14ac:dyDescent="0.2">
      <c r="A93" s="1" t="s">
        <v>128</v>
      </c>
      <c r="B93" s="1" t="s">
        <v>220</v>
      </c>
      <c r="C93" s="1" t="s">
        <v>308</v>
      </c>
      <c r="D93" s="1" t="s">
        <v>345</v>
      </c>
      <c r="E93" s="3">
        <v>27.122222222222224</v>
      </c>
      <c r="F93" s="3">
        <v>5.6888888888888891</v>
      </c>
      <c r="G93" s="3">
        <v>0.26666666666666666</v>
      </c>
      <c r="H93" s="3">
        <v>0.26666666666666666</v>
      </c>
      <c r="I93" s="3">
        <v>0.28055555555555556</v>
      </c>
      <c r="J93" s="3">
        <v>0</v>
      </c>
      <c r="K93" s="3">
        <v>0.41111111111111109</v>
      </c>
      <c r="L93" s="3">
        <v>0.76855555555555577</v>
      </c>
      <c r="M93" s="3">
        <v>0</v>
      </c>
      <c r="N93" s="3">
        <v>5.2611111111111111</v>
      </c>
      <c r="O93" s="3">
        <f>SUM(Table2[[#This Row],[Qualified Social Work Staff Hours]:[Other Social Work Staff Hours]])/Table2[[#This Row],[MDS Census]]</f>
        <v>0.19397787791888568</v>
      </c>
      <c r="P93" s="3">
        <v>4.8444444444444441</v>
      </c>
      <c r="Q93" s="3">
        <v>6.677777777777778</v>
      </c>
      <c r="R93" s="3">
        <f>SUM(Table2[[#This Row],[Qualified Activities Professional Hours]:[Other Activities Professional Hours]])/Table2[[#This Row],[MDS Census]]</f>
        <v>0.42482589102826707</v>
      </c>
      <c r="S93" s="3">
        <v>3.0516666666666663</v>
      </c>
      <c r="T93" s="3">
        <v>0</v>
      </c>
      <c r="U93" s="3">
        <v>0</v>
      </c>
      <c r="V93" s="3">
        <f>SUM(Table2[[#This Row],[Occupational Therapist Hours]:[OT Aide Hours]])/Table2[[#This Row],[MDS Census]]</f>
        <v>0.11251536255632935</v>
      </c>
      <c r="W93" s="3">
        <v>1.1188888888888888</v>
      </c>
      <c r="X93" s="3">
        <v>3.5127777777777789</v>
      </c>
      <c r="Y93" s="3">
        <v>0</v>
      </c>
      <c r="Z93" s="3">
        <f>SUM(Table2[[#This Row],[Physical Therapist (PT) Hours]:[PT Aide Hours]])/Table2[[#This Row],[MDS Census]]</f>
        <v>0.1707701761573126</v>
      </c>
      <c r="AA93" s="3">
        <v>0</v>
      </c>
      <c r="AB93" s="3">
        <v>0</v>
      </c>
      <c r="AC93" s="3">
        <v>0</v>
      </c>
      <c r="AD93" s="3">
        <v>0</v>
      </c>
      <c r="AE93" s="3">
        <v>0</v>
      </c>
      <c r="AF93" s="3">
        <v>0</v>
      </c>
      <c r="AG93" s="3">
        <v>0</v>
      </c>
      <c r="AH93" s="1" t="s">
        <v>91</v>
      </c>
      <c r="AI93" s="17">
        <v>10</v>
      </c>
      <c r="AJ93" s="1"/>
    </row>
    <row r="94" spans="1:36" x14ac:dyDescent="0.2">
      <c r="A94" s="1" t="s">
        <v>128</v>
      </c>
      <c r="B94" s="1" t="s">
        <v>221</v>
      </c>
      <c r="C94" s="1" t="s">
        <v>286</v>
      </c>
      <c r="D94" s="1" t="s">
        <v>339</v>
      </c>
      <c r="E94" s="3">
        <v>31.488888888888887</v>
      </c>
      <c r="F94" s="3">
        <v>5.4222222222222225</v>
      </c>
      <c r="G94" s="3">
        <v>0</v>
      </c>
      <c r="H94" s="3">
        <v>0</v>
      </c>
      <c r="I94" s="3">
        <v>0.65</v>
      </c>
      <c r="J94" s="3">
        <v>0</v>
      </c>
      <c r="K94" s="3">
        <v>0</v>
      </c>
      <c r="L94" s="3">
        <v>3.1308888888888884</v>
      </c>
      <c r="M94" s="3">
        <v>5.9862222222222226</v>
      </c>
      <c r="N94" s="3">
        <v>0</v>
      </c>
      <c r="O94" s="3">
        <f>SUM(Table2[[#This Row],[Qualified Social Work Staff Hours]:[Other Social Work Staff Hours]])/Table2[[#This Row],[MDS Census]]</f>
        <v>0.190105857445307</v>
      </c>
      <c r="P94" s="3">
        <v>5.3246666666666691</v>
      </c>
      <c r="Q94" s="3">
        <v>0.105</v>
      </c>
      <c r="R94" s="3">
        <f>SUM(Table2[[#This Row],[Qualified Activities Professional Hours]:[Other Activities Professional Hours]])/Table2[[#This Row],[MDS Census]]</f>
        <v>0.17243119266055057</v>
      </c>
      <c r="S94" s="3">
        <v>2.7859999999999991</v>
      </c>
      <c r="T94" s="3">
        <v>0</v>
      </c>
      <c r="U94" s="3">
        <v>0</v>
      </c>
      <c r="V94" s="3">
        <f>SUM(Table2[[#This Row],[Occupational Therapist Hours]:[OT Aide Hours]])/Table2[[#This Row],[MDS Census]]</f>
        <v>8.8475652787579365E-2</v>
      </c>
      <c r="W94" s="3">
        <v>0.36711111111111111</v>
      </c>
      <c r="X94" s="3">
        <v>2.5298888888888893</v>
      </c>
      <c r="Y94" s="3">
        <v>0</v>
      </c>
      <c r="Z94" s="3">
        <f>SUM(Table2[[#This Row],[Physical Therapist (PT) Hours]:[PT Aide Hours]])/Table2[[#This Row],[MDS Census]]</f>
        <v>9.2000705716302061E-2</v>
      </c>
      <c r="AA94" s="3">
        <v>0</v>
      </c>
      <c r="AB94" s="3">
        <v>0</v>
      </c>
      <c r="AC94" s="3">
        <v>0</v>
      </c>
      <c r="AD94" s="3">
        <v>0</v>
      </c>
      <c r="AE94" s="3">
        <v>0</v>
      </c>
      <c r="AF94" s="3">
        <v>0</v>
      </c>
      <c r="AG94" s="3">
        <v>0</v>
      </c>
      <c r="AH94" s="1" t="s">
        <v>92</v>
      </c>
      <c r="AI94" s="17">
        <v>10</v>
      </c>
      <c r="AJ94" s="1"/>
    </row>
    <row r="95" spans="1:36" x14ac:dyDescent="0.2">
      <c r="A95" s="1" t="s">
        <v>128</v>
      </c>
      <c r="B95" s="1" t="s">
        <v>222</v>
      </c>
      <c r="C95" s="1" t="s">
        <v>273</v>
      </c>
      <c r="D95" s="1" t="s">
        <v>319</v>
      </c>
      <c r="E95" s="3">
        <v>30.888888888888889</v>
      </c>
      <c r="F95" s="3">
        <v>4.6277777777777782</v>
      </c>
      <c r="G95" s="3">
        <v>0.13333333333333336</v>
      </c>
      <c r="H95" s="3">
        <v>0.17777777777777778</v>
      </c>
      <c r="I95" s="3">
        <v>4.8280000000000003</v>
      </c>
      <c r="J95" s="3">
        <v>0</v>
      </c>
      <c r="K95" s="3">
        <v>0</v>
      </c>
      <c r="L95" s="3">
        <v>0.81288888888888899</v>
      </c>
      <c r="M95" s="3">
        <v>5.2777777777777777</v>
      </c>
      <c r="N95" s="3">
        <v>0</v>
      </c>
      <c r="O95" s="3">
        <f>SUM(Table2[[#This Row],[Qualified Social Work Staff Hours]:[Other Social Work Staff Hours]])/Table2[[#This Row],[MDS Census]]</f>
        <v>0.17086330935251798</v>
      </c>
      <c r="P95" s="3">
        <v>0</v>
      </c>
      <c r="Q95" s="3">
        <v>7.1897777777777767</v>
      </c>
      <c r="R95" s="3">
        <f>SUM(Table2[[#This Row],[Qualified Activities Professional Hours]:[Other Activities Professional Hours]])/Table2[[#This Row],[MDS Census]]</f>
        <v>0.23276258992805751</v>
      </c>
      <c r="S95" s="3">
        <v>2.9754444444444439</v>
      </c>
      <c r="T95" s="3">
        <v>0.47188888888888886</v>
      </c>
      <c r="U95" s="3">
        <v>0</v>
      </c>
      <c r="V95" s="3">
        <f>SUM(Table2[[#This Row],[Occupational Therapist Hours]:[OT Aide Hours]])/Table2[[#This Row],[MDS Census]]</f>
        <v>0.11160431654676257</v>
      </c>
      <c r="W95" s="3">
        <v>2.3982222222222225</v>
      </c>
      <c r="X95" s="3">
        <v>2.4435555555555561</v>
      </c>
      <c r="Y95" s="3">
        <v>0</v>
      </c>
      <c r="Z95" s="3">
        <f>SUM(Table2[[#This Row],[Physical Therapist (PT) Hours]:[PT Aide Hours]])/Table2[[#This Row],[MDS Census]]</f>
        <v>0.15674820143884893</v>
      </c>
      <c r="AA95" s="3">
        <v>0</v>
      </c>
      <c r="AB95" s="3">
        <v>0</v>
      </c>
      <c r="AC95" s="3">
        <v>0</v>
      </c>
      <c r="AD95" s="3">
        <v>0</v>
      </c>
      <c r="AE95" s="3">
        <v>0</v>
      </c>
      <c r="AF95" s="3">
        <v>0</v>
      </c>
      <c r="AG95" s="3">
        <v>0</v>
      </c>
      <c r="AH95" s="1" t="s">
        <v>93</v>
      </c>
      <c r="AI95" s="17">
        <v>10</v>
      </c>
      <c r="AJ95" s="1"/>
    </row>
    <row r="96" spans="1:36" x14ac:dyDescent="0.2">
      <c r="A96" s="1" t="s">
        <v>128</v>
      </c>
      <c r="B96" s="1" t="s">
        <v>223</v>
      </c>
      <c r="C96" s="1" t="s">
        <v>266</v>
      </c>
      <c r="D96" s="1" t="s">
        <v>321</v>
      </c>
      <c r="E96" s="3">
        <v>78.077777777777783</v>
      </c>
      <c r="F96" s="3">
        <v>5.6</v>
      </c>
      <c r="G96" s="3">
        <v>0</v>
      </c>
      <c r="H96" s="3">
        <v>0</v>
      </c>
      <c r="I96" s="3">
        <v>2.5111111111111111</v>
      </c>
      <c r="J96" s="3">
        <v>0</v>
      </c>
      <c r="K96" s="3">
        <v>0</v>
      </c>
      <c r="L96" s="3">
        <v>3.5757777777777782</v>
      </c>
      <c r="M96" s="3">
        <v>5.4222222222222225</v>
      </c>
      <c r="N96" s="3">
        <v>5.4138888888888888</v>
      </c>
      <c r="O96" s="3">
        <f>SUM(Table2[[#This Row],[Qualified Social Work Staff Hours]:[Other Social Work Staff Hours]])/Table2[[#This Row],[MDS Census]]</f>
        <v>0.13878611071581046</v>
      </c>
      <c r="P96" s="3">
        <v>4.6388888888888893</v>
      </c>
      <c r="Q96" s="3">
        <v>3.3861111111111111</v>
      </c>
      <c r="R96" s="3">
        <f>SUM(Table2[[#This Row],[Qualified Activities Professional Hours]:[Other Activities Professional Hours]])/Table2[[#This Row],[MDS Census]]</f>
        <v>0.10278212608510033</v>
      </c>
      <c r="S96" s="3">
        <v>14.604111111111113</v>
      </c>
      <c r="T96" s="3">
        <v>4.8774444444444445</v>
      </c>
      <c r="U96" s="3">
        <v>0</v>
      </c>
      <c r="V96" s="3">
        <f>SUM(Table2[[#This Row],[Occupational Therapist Hours]:[OT Aide Hours]])/Table2[[#This Row],[MDS Census]]</f>
        <v>0.24951472890280349</v>
      </c>
      <c r="W96" s="3">
        <v>17.638222222222218</v>
      </c>
      <c r="X96" s="3">
        <v>9.7007777777777768</v>
      </c>
      <c r="Y96" s="3">
        <v>0</v>
      </c>
      <c r="Z96" s="3">
        <f>SUM(Table2[[#This Row],[Physical Therapist (PT) Hours]:[PT Aide Hours]])/Table2[[#This Row],[MDS Census]]</f>
        <v>0.3501508467340258</v>
      </c>
      <c r="AA96" s="3">
        <v>0</v>
      </c>
      <c r="AB96" s="3">
        <v>0</v>
      </c>
      <c r="AC96" s="3">
        <v>0</v>
      </c>
      <c r="AD96" s="3">
        <v>0</v>
      </c>
      <c r="AE96" s="3">
        <v>0</v>
      </c>
      <c r="AF96" s="3">
        <v>0</v>
      </c>
      <c r="AG96" s="3">
        <v>0</v>
      </c>
      <c r="AH96" s="1" t="s">
        <v>94</v>
      </c>
      <c r="AI96" s="17">
        <v>10</v>
      </c>
      <c r="AJ96" s="1"/>
    </row>
    <row r="97" spans="1:36" x14ac:dyDescent="0.2">
      <c r="A97" s="1" t="s">
        <v>128</v>
      </c>
      <c r="B97" s="1" t="s">
        <v>224</v>
      </c>
      <c r="C97" s="1" t="s">
        <v>289</v>
      </c>
      <c r="D97" s="1" t="s">
        <v>341</v>
      </c>
      <c r="E97" s="3">
        <v>39.955555555555556</v>
      </c>
      <c r="F97" s="3">
        <v>5.5111111111111111</v>
      </c>
      <c r="G97" s="3">
        <v>0.28922222222222221</v>
      </c>
      <c r="H97" s="3">
        <v>0</v>
      </c>
      <c r="I97" s="3">
        <v>2.2444444444444445</v>
      </c>
      <c r="J97" s="3">
        <v>0</v>
      </c>
      <c r="K97" s="3">
        <v>0.48888888888888887</v>
      </c>
      <c r="L97" s="3">
        <v>4.1397777777777787</v>
      </c>
      <c r="M97" s="3">
        <v>4.9249999999999998</v>
      </c>
      <c r="N97" s="3">
        <v>5.4249999999999998</v>
      </c>
      <c r="O97" s="3">
        <f>SUM(Table2[[#This Row],[Qualified Social Work Staff Hours]:[Other Social Work Staff Hours]])/Table2[[#This Row],[MDS Census]]</f>
        <v>0.25903781979977752</v>
      </c>
      <c r="P97" s="3">
        <v>4.9333333333333336</v>
      </c>
      <c r="Q97" s="3">
        <v>5.1083333333333334</v>
      </c>
      <c r="R97" s="3">
        <f>SUM(Table2[[#This Row],[Qualified Activities Professional Hours]:[Other Activities Professional Hours]])/Table2[[#This Row],[MDS Census]]</f>
        <v>0.25132091212458291</v>
      </c>
      <c r="S97" s="3">
        <v>7.4290000000000012</v>
      </c>
      <c r="T97" s="3">
        <v>5.8893333333333331</v>
      </c>
      <c r="U97" s="3">
        <v>0</v>
      </c>
      <c r="V97" s="3">
        <f>SUM(Table2[[#This Row],[Occupational Therapist Hours]:[OT Aide Hours]])/Table2[[#This Row],[MDS Census]]</f>
        <v>0.33332869855394887</v>
      </c>
      <c r="W97" s="3">
        <v>11.711555555555556</v>
      </c>
      <c r="X97" s="3">
        <v>10.372222222222225</v>
      </c>
      <c r="Y97" s="3">
        <v>0</v>
      </c>
      <c r="Z97" s="3">
        <f>SUM(Table2[[#This Row],[Physical Therapist (PT) Hours]:[PT Aide Hours]])/Table2[[#This Row],[MDS Census]]</f>
        <v>0.5527085650723027</v>
      </c>
      <c r="AA97" s="3">
        <v>0</v>
      </c>
      <c r="AB97" s="3">
        <v>0</v>
      </c>
      <c r="AC97" s="3">
        <v>0</v>
      </c>
      <c r="AD97" s="3">
        <v>0</v>
      </c>
      <c r="AE97" s="3">
        <v>0</v>
      </c>
      <c r="AF97" s="3">
        <v>0</v>
      </c>
      <c r="AG97" s="3">
        <v>1.2E-2</v>
      </c>
      <c r="AH97" s="1" t="s">
        <v>95</v>
      </c>
      <c r="AI97" s="17">
        <v>10</v>
      </c>
      <c r="AJ97" s="1"/>
    </row>
    <row r="98" spans="1:36" x14ac:dyDescent="0.2">
      <c r="A98" s="1" t="s">
        <v>128</v>
      </c>
      <c r="B98" s="1" t="s">
        <v>225</v>
      </c>
      <c r="C98" s="1" t="s">
        <v>309</v>
      </c>
      <c r="D98" s="1" t="s">
        <v>332</v>
      </c>
      <c r="E98" s="3">
        <v>18.233333333333334</v>
      </c>
      <c r="F98" s="3">
        <v>5.6</v>
      </c>
      <c r="G98" s="3">
        <v>0</v>
      </c>
      <c r="H98" s="3">
        <v>0</v>
      </c>
      <c r="I98" s="3">
        <v>0</v>
      </c>
      <c r="J98" s="3">
        <v>0</v>
      </c>
      <c r="K98" s="3">
        <v>0</v>
      </c>
      <c r="L98" s="3">
        <v>0</v>
      </c>
      <c r="M98" s="3">
        <v>0</v>
      </c>
      <c r="N98" s="3">
        <v>3.5988888888888892</v>
      </c>
      <c r="O98" s="3">
        <f>SUM(Table2[[#This Row],[Qualified Social Work Staff Hours]:[Other Social Work Staff Hours]])/Table2[[#This Row],[MDS Census]]</f>
        <v>0.19737964655697746</v>
      </c>
      <c r="P98" s="3">
        <v>0</v>
      </c>
      <c r="Q98" s="3">
        <v>4.5253333333333341</v>
      </c>
      <c r="R98" s="3">
        <f>SUM(Table2[[#This Row],[Qualified Activities Professional Hours]:[Other Activities Professional Hours]])/Table2[[#This Row],[MDS Census]]</f>
        <v>0.24819012797074957</v>
      </c>
      <c r="S98" s="3">
        <v>0</v>
      </c>
      <c r="T98" s="3">
        <v>0</v>
      </c>
      <c r="U98" s="3">
        <v>0</v>
      </c>
      <c r="V98" s="3">
        <f>SUM(Table2[[#This Row],[Occupational Therapist Hours]:[OT Aide Hours]])/Table2[[#This Row],[MDS Census]]</f>
        <v>0</v>
      </c>
      <c r="W98" s="3">
        <v>0</v>
      </c>
      <c r="X98" s="3">
        <v>0</v>
      </c>
      <c r="Y98" s="3">
        <v>0</v>
      </c>
      <c r="Z98" s="3">
        <f>SUM(Table2[[#This Row],[Physical Therapist (PT) Hours]:[PT Aide Hours]])/Table2[[#This Row],[MDS Census]]</f>
        <v>0</v>
      </c>
      <c r="AA98" s="3">
        <v>0</v>
      </c>
      <c r="AB98" s="3">
        <v>0</v>
      </c>
      <c r="AC98" s="3">
        <v>0</v>
      </c>
      <c r="AD98" s="3">
        <v>0</v>
      </c>
      <c r="AE98" s="3">
        <v>0</v>
      </c>
      <c r="AF98" s="3">
        <v>0</v>
      </c>
      <c r="AG98" s="3">
        <v>0</v>
      </c>
      <c r="AH98" s="1" t="s">
        <v>96</v>
      </c>
      <c r="AI98" s="17">
        <v>10</v>
      </c>
      <c r="AJ98" s="1"/>
    </row>
    <row r="99" spans="1:36" x14ac:dyDescent="0.2">
      <c r="A99" s="1" t="s">
        <v>128</v>
      </c>
      <c r="B99" s="1" t="s">
        <v>226</v>
      </c>
      <c r="C99" s="1" t="s">
        <v>282</v>
      </c>
      <c r="D99" s="1" t="s">
        <v>336</v>
      </c>
      <c r="E99" s="3">
        <v>100.83333333333333</v>
      </c>
      <c r="F99" s="3">
        <v>9.0222222222222221</v>
      </c>
      <c r="G99" s="3">
        <v>0.53333333333333333</v>
      </c>
      <c r="H99" s="3">
        <v>0.6</v>
      </c>
      <c r="I99" s="3">
        <v>2.8</v>
      </c>
      <c r="J99" s="3">
        <v>0</v>
      </c>
      <c r="K99" s="3">
        <v>0</v>
      </c>
      <c r="L99" s="3">
        <v>0.41766666666666669</v>
      </c>
      <c r="M99" s="3">
        <v>5.0666666666666664</v>
      </c>
      <c r="N99" s="3">
        <v>12.45</v>
      </c>
      <c r="O99" s="3">
        <f>SUM(Table2[[#This Row],[Qualified Social Work Staff Hours]:[Other Social Work Staff Hours]])/Table2[[#This Row],[MDS Census]]</f>
        <v>0.17371900826446282</v>
      </c>
      <c r="P99" s="3">
        <v>18.616666666666667</v>
      </c>
      <c r="Q99" s="3">
        <v>33.130555555555553</v>
      </c>
      <c r="R99" s="3">
        <f>SUM(Table2[[#This Row],[Qualified Activities Professional Hours]:[Other Activities Professional Hours]])/Table2[[#This Row],[MDS Census]]</f>
        <v>0.51319559228650136</v>
      </c>
      <c r="S99" s="3">
        <v>0.6303333333333333</v>
      </c>
      <c r="T99" s="3">
        <v>1.3169999999999999</v>
      </c>
      <c r="U99" s="3">
        <v>0</v>
      </c>
      <c r="V99" s="3">
        <f>SUM(Table2[[#This Row],[Occupational Therapist Hours]:[OT Aide Hours]])/Table2[[#This Row],[MDS Census]]</f>
        <v>1.9312396694214876E-2</v>
      </c>
      <c r="W99" s="3">
        <v>0.52644444444444438</v>
      </c>
      <c r="X99" s="3">
        <v>2.3765555555555555</v>
      </c>
      <c r="Y99" s="3">
        <v>0</v>
      </c>
      <c r="Z99" s="3">
        <f>SUM(Table2[[#This Row],[Physical Therapist (PT) Hours]:[PT Aide Hours]])/Table2[[#This Row],[MDS Census]]</f>
        <v>2.8790082644628102E-2</v>
      </c>
      <c r="AA99" s="3">
        <v>0</v>
      </c>
      <c r="AB99" s="3">
        <v>0</v>
      </c>
      <c r="AC99" s="3">
        <v>0</v>
      </c>
      <c r="AD99" s="3">
        <v>0</v>
      </c>
      <c r="AE99" s="3">
        <v>0</v>
      </c>
      <c r="AF99" s="3">
        <v>0</v>
      </c>
      <c r="AG99" s="3">
        <v>0</v>
      </c>
      <c r="AH99" s="1" t="s">
        <v>97</v>
      </c>
      <c r="AI99" s="17">
        <v>10</v>
      </c>
      <c r="AJ99" s="1"/>
    </row>
    <row r="100" spans="1:36" x14ac:dyDescent="0.2">
      <c r="A100" s="1" t="s">
        <v>128</v>
      </c>
      <c r="B100" s="1" t="s">
        <v>227</v>
      </c>
      <c r="C100" s="1" t="s">
        <v>263</v>
      </c>
      <c r="D100" s="1" t="s">
        <v>334</v>
      </c>
      <c r="E100" s="3">
        <v>33.37777777777778</v>
      </c>
      <c r="F100" s="3">
        <v>5.5277777777777777</v>
      </c>
      <c r="G100" s="3">
        <v>0</v>
      </c>
      <c r="H100" s="3">
        <v>0</v>
      </c>
      <c r="I100" s="3">
        <v>1.1361111111111111</v>
      </c>
      <c r="J100" s="3">
        <v>0</v>
      </c>
      <c r="K100" s="3">
        <v>0</v>
      </c>
      <c r="L100" s="3">
        <v>1.8501111111111106</v>
      </c>
      <c r="M100" s="3">
        <v>5.0913333333333339</v>
      </c>
      <c r="N100" s="3">
        <v>0</v>
      </c>
      <c r="O100" s="3">
        <f>SUM(Table2[[#This Row],[Qualified Social Work Staff Hours]:[Other Social Work Staff Hours]])/Table2[[#This Row],[MDS Census]]</f>
        <v>0.15253661784287617</v>
      </c>
      <c r="P100" s="3">
        <v>5.3487777777777774</v>
      </c>
      <c r="Q100" s="3">
        <v>0</v>
      </c>
      <c r="R100" s="3">
        <f>SUM(Table2[[#This Row],[Qualified Activities Professional Hours]:[Other Activities Professional Hours]])/Table2[[#This Row],[MDS Census]]</f>
        <v>0.16024966711051927</v>
      </c>
      <c r="S100" s="3">
        <v>3.7025555555555547</v>
      </c>
      <c r="T100" s="3">
        <v>3.9864444444444449</v>
      </c>
      <c r="U100" s="3">
        <v>0</v>
      </c>
      <c r="V100" s="3">
        <f>SUM(Table2[[#This Row],[Occupational Therapist Hours]:[OT Aide Hours]])/Table2[[#This Row],[MDS Census]]</f>
        <v>0.23036284953395472</v>
      </c>
      <c r="W100" s="3">
        <v>2.1829999999999998</v>
      </c>
      <c r="X100" s="3">
        <v>4.2678888888888906</v>
      </c>
      <c r="Y100" s="3">
        <v>0</v>
      </c>
      <c r="Z100" s="3">
        <f>SUM(Table2[[#This Row],[Physical Therapist (PT) Hours]:[PT Aide Hours]])/Table2[[#This Row],[MDS Census]]</f>
        <v>0.1932689747003995</v>
      </c>
      <c r="AA100" s="3">
        <v>0</v>
      </c>
      <c r="AB100" s="3">
        <v>0</v>
      </c>
      <c r="AC100" s="3">
        <v>0</v>
      </c>
      <c r="AD100" s="3">
        <v>0</v>
      </c>
      <c r="AE100" s="3">
        <v>0</v>
      </c>
      <c r="AF100" s="3">
        <v>0</v>
      </c>
      <c r="AG100" s="3">
        <v>0</v>
      </c>
      <c r="AH100" s="1" t="s">
        <v>98</v>
      </c>
      <c r="AI100" s="17">
        <v>10</v>
      </c>
      <c r="AJ100" s="1"/>
    </row>
    <row r="101" spans="1:36" x14ac:dyDescent="0.2">
      <c r="A101" s="1" t="s">
        <v>128</v>
      </c>
      <c r="B101" s="1" t="s">
        <v>228</v>
      </c>
      <c r="C101" s="1" t="s">
        <v>263</v>
      </c>
      <c r="D101" s="1" t="s">
        <v>334</v>
      </c>
      <c r="E101" s="3">
        <v>34.87777777777778</v>
      </c>
      <c r="F101" s="3">
        <v>5.083333333333333</v>
      </c>
      <c r="G101" s="3">
        <v>0.31111111111111101</v>
      </c>
      <c r="H101" s="3">
        <v>0.17777777777777778</v>
      </c>
      <c r="I101" s="3">
        <v>1.5</v>
      </c>
      <c r="J101" s="3">
        <v>0</v>
      </c>
      <c r="K101" s="3">
        <v>0</v>
      </c>
      <c r="L101" s="3">
        <v>1.1085555555555557</v>
      </c>
      <c r="M101" s="3">
        <v>0</v>
      </c>
      <c r="N101" s="3">
        <v>0</v>
      </c>
      <c r="O101" s="3">
        <f>SUM(Table2[[#This Row],[Qualified Social Work Staff Hours]:[Other Social Work Staff Hours]])/Table2[[#This Row],[MDS Census]]</f>
        <v>0</v>
      </c>
      <c r="P101" s="3">
        <v>0</v>
      </c>
      <c r="Q101" s="3">
        <v>8.4059999999999988</v>
      </c>
      <c r="R101" s="3">
        <f>SUM(Table2[[#This Row],[Qualified Activities Professional Hours]:[Other Activities Professional Hours]])/Table2[[#This Row],[MDS Census]]</f>
        <v>0.24101306148454918</v>
      </c>
      <c r="S101" s="3">
        <v>3.9872222222222211</v>
      </c>
      <c r="T101" s="3">
        <v>5.0204444444444434</v>
      </c>
      <c r="U101" s="3">
        <v>0</v>
      </c>
      <c r="V101" s="3">
        <f>SUM(Table2[[#This Row],[Occupational Therapist Hours]:[OT Aide Hours]])/Table2[[#This Row],[MDS Census]]</f>
        <v>0.25826377827333541</v>
      </c>
      <c r="W101" s="3">
        <v>6.1744444444444451</v>
      </c>
      <c r="X101" s="3">
        <v>4.3789999999999996</v>
      </c>
      <c r="Y101" s="3">
        <v>0</v>
      </c>
      <c r="Z101" s="3">
        <f>SUM(Table2[[#This Row],[Physical Therapist (PT) Hours]:[PT Aide Hours]])/Table2[[#This Row],[MDS Census]]</f>
        <v>0.30258362535839439</v>
      </c>
      <c r="AA101" s="3">
        <v>0</v>
      </c>
      <c r="AB101" s="3">
        <v>0</v>
      </c>
      <c r="AC101" s="3">
        <v>0</v>
      </c>
      <c r="AD101" s="3">
        <v>0</v>
      </c>
      <c r="AE101" s="3">
        <v>0</v>
      </c>
      <c r="AF101" s="3">
        <v>0</v>
      </c>
      <c r="AG101" s="3">
        <v>0</v>
      </c>
      <c r="AH101" s="1" t="s">
        <v>99</v>
      </c>
      <c r="AI101" s="17">
        <v>10</v>
      </c>
      <c r="AJ101" s="1"/>
    </row>
    <row r="102" spans="1:36" x14ac:dyDescent="0.2">
      <c r="A102" s="1" t="s">
        <v>128</v>
      </c>
      <c r="B102" s="1" t="s">
        <v>229</v>
      </c>
      <c r="C102" s="1" t="s">
        <v>275</v>
      </c>
      <c r="D102" s="1" t="s">
        <v>339</v>
      </c>
      <c r="E102" s="3">
        <v>32.6</v>
      </c>
      <c r="F102" s="3">
        <v>5.6</v>
      </c>
      <c r="G102" s="3">
        <v>0.97777777777777775</v>
      </c>
      <c r="H102" s="3">
        <v>0.17777777777777778</v>
      </c>
      <c r="I102" s="3">
        <v>4.3583333333333334</v>
      </c>
      <c r="J102" s="3">
        <v>0</v>
      </c>
      <c r="K102" s="3">
        <v>0</v>
      </c>
      <c r="L102" s="3">
        <v>2.3476666666666661</v>
      </c>
      <c r="M102" s="3">
        <v>4.8888888888888893</v>
      </c>
      <c r="N102" s="3">
        <v>0</v>
      </c>
      <c r="O102" s="3">
        <f>SUM(Table2[[#This Row],[Qualified Social Work Staff Hours]:[Other Social Work Staff Hours]])/Table2[[#This Row],[MDS Census]]</f>
        <v>0.14996591683708249</v>
      </c>
      <c r="P102" s="3">
        <v>5.2138888888888886</v>
      </c>
      <c r="Q102" s="3">
        <v>9.9944444444444436</v>
      </c>
      <c r="R102" s="3">
        <f>SUM(Table2[[#This Row],[Qualified Activities Professional Hours]:[Other Activities Professional Hours]])/Table2[[#This Row],[MDS Census]]</f>
        <v>0.46651329243353779</v>
      </c>
      <c r="S102" s="3">
        <v>2.624888888888889</v>
      </c>
      <c r="T102" s="3">
        <v>2.836444444444445</v>
      </c>
      <c r="U102" s="3">
        <v>0</v>
      </c>
      <c r="V102" s="3">
        <f>SUM(Table2[[#This Row],[Occupational Therapist Hours]:[OT Aide Hours]])/Table2[[#This Row],[MDS Census]]</f>
        <v>0.16752556237218816</v>
      </c>
      <c r="W102" s="3">
        <v>2.9632222222222215</v>
      </c>
      <c r="X102" s="3">
        <v>2.540222222222221</v>
      </c>
      <c r="Y102" s="3">
        <v>0</v>
      </c>
      <c r="Z102" s="3">
        <f>SUM(Table2[[#This Row],[Physical Therapist (PT) Hours]:[PT Aide Hours]])/Table2[[#This Row],[MDS Census]]</f>
        <v>0.16881731424676202</v>
      </c>
      <c r="AA102" s="3">
        <v>0</v>
      </c>
      <c r="AB102" s="3">
        <v>0</v>
      </c>
      <c r="AC102" s="3">
        <v>0</v>
      </c>
      <c r="AD102" s="3">
        <v>0</v>
      </c>
      <c r="AE102" s="3">
        <v>0</v>
      </c>
      <c r="AF102" s="3">
        <v>0</v>
      </c>
      <c r="AG102" s="3">
        <v>0</v>
      </c>
      <c r="AH102" s="1" t="s">
        <v>100</v>
      </c>
      <c r="AI102" s="17">
        <v>10</v>
      </c>
      <c r="AJ102" s="1"/>
    </row>
    <row r="103" spans="1:36" x14ac:dyDescent="0.2">
      <c r="A103" s="1" t="s">
        <v>128</v>
      </c>
      <c r="B103" s="1" t="s">
        <v>230</v>
      </c>
      <c r="C103" s="1" t="s">
        <v>310</v>
      </c>
      <c r="D103" s="1" t="s">
        <v>346</v>
      </c>
      <c r="E103" s="3">
        <v>27.033333333333335</v>
      </c>
      <c r="F103" s="3">
        <v>5.4232222222222228</v>
      </c>
      <c r="G103" s="3">
        <v>0.46333333333333326</v>
      </c>
      <c r="H103" s="3">
        <v>0.1677777777777778</v>
      </c>
      <c r="I103" s="3">
        <v>0.24444444444444444</v>
      </c>
      <c r="J103" s="3">
        <v>0</v>
      </c>
      <c r="K103" s="3">
        <v>0</v>
      </c>
      <c r="L103" s="3">
        <v>0.54544444444444451</v>
      </c>
      <c r="M103" s="3">
        <v>4.7125555555555554</v>
      </c>
      <c r="N103" s="3">
        <v>0</v>
      </c>
      <c r="O103" s="3">
        <f>SUM(Table2[[#This Row],[Qualified Social Work Staff Hours]:[Other Social Work Staff Hours]])/Table2[[#This Row],[MDS Census]]</f>
        <v>0.17432387998355939</v>
      </c>
      <c r="P103" s="3">
        <v>4.5325555555555566</v>
      </c>
      <c r="Q103" s="3">
        <v>0.28322222222222221</v>
      </c>
      <c r="R103" s="3">
        <f>SUM(Table2[[#This Row],[Qualified Activities Professional Hours]:[Other Activities Professional Hours]])/Table2[[#This Row],[MDS Census]]</f>
        <v>0.1781422112618167</v>
      </c>
      <c r="S103" s="3">
        <v>0.39711111111111108</v>
      </c>
      <c r="T103" s="3">
        <v>3.6654444444444447</v>
      </c>
      <c r="U103" s="3">
        <v>0</v>
      </c>
      <c r="V103" s="3">
        <f>SUM(Table2[[#This Row],[Occupational Therapist Hours]:[OT Aide Hours]])/Table2[[#This Row],[MDS Census]]</f>
        <v>0.15027949034114263</v>
      </c>
      <c r="W103" s="3">
        <v>0.6359999999999999</v>
      </c>
      <c r="X103" s="3">
        <v>2.2302222222222228</v>
      </c>
      <c r="Y103" s="3">
        <v>0</v>
      </c>
      <c r="Z103" s="3">
        <f>SUM(Table2[[#This Row],[Physical Therapist (PT) Hours]:[PT Aide Hours]])/Table2[[#This Row],[MDS Census]]</f>
        <v>0.10602548294286888</v>
      </c>
      <c r="AA103" s="3">
        <v>0</v>
      </c>
      <c r="AB103" s="3">
        <v>0</v>
      </c>
      <c r="AC103" s="3">
        <v>0</v>
      </c>
      <c r="AD103" s="3">
        <v>0</v>
      </c>
      <c r="AE103" s="3">
        <v>0</v>
      </c>
      <c r="AF103" s="3">
        <v>0</v>
      </c>
      <c r="AG103" s="3">
        <v>0</v>
      </c>
      <c r="AH103" s="1" t="s">
        <v>101</v>
      </c>
      <c r="AI103" s="17">
        <v>10</v>
      </c>
      <c r="AJ103" s="1"/>
    </row>
    <row r="104" spans="1:36" x14ac:dyDescent="0.2">
      <c r="A104" s="1" t="s">
        <v>128</v>
      </c>
      <c r="B104" s="1" t="s">
        <v>231</v>
      </c>
      <c r="C104" s="1" t="s">
        <v>311</v>
      </c>
      <c r="D104" s="1" t="s">
        <v>343</v>
      </c>
      <c r="E104" s="3">
        <v>48.477777777777774</v>
      </c>
      <c r="F104" s="3">
        <v>5.2448888888888918</v>
      </c>
      <c r="G104" s="3">
        <v>0</v>
      </c>
      <c r="H104" s="3">
        <v>0</v>
      </c>
      <c r="I104" s="3">
        <v>0</v>
      </c>
      <c r="J104" s="3">
        <v>0</v>
      </c>
      <c r="K104" s="3">
        <v>0</v>
      </c>
      <c r="L104" s="3">
        <v>5.0831111111111094</v>
      </c>
      <c r="M104" s="3">
        <v>5.1755555555555555</v>
      </c>
      <c r="N104" s="3">
        <v>4.7305555555555552</v>
      </c>
      <c r="O104" s="3">
        <f>SUM(Table2[[#This Row],[Qualified Social Work Staff Hours]:[Other Social Work Staff Hours]])/Table2[[#This Row],[MDS Census]]</f>
        <v>0.2043433417373367</v>
      </c>
      <c r="P104" s="3">
        <v>5.0200000000000005</v>
      </c>
      <c r="Q104" s="3">
        <v>8.5560000000000027</v>
      </c>
      <c r="R104" s="3">
        <f>SUM(Table2[[#This Row],[Qualified Activities Professional Hours]:[Other Activities Professional Hours]])/Table2[[#This Row],[MDS Census]]</f>
        <v>0.2800458400183361</v>
      </c>
      <c r="S104" s="3">
        <v>4.6596666666666664</v>
      </c>
      <c r="T104" s="3">
        <v>9.5486666666666675</v>
      </c>
      <c r="U104" s="3">
        <v>0</v>
      </c>
      <c r="V104" s="3">
        <f>SUM(Table2[[#This Row],[Occupational Therapist Hours]:[OT Aide Hours]])/Table2[[#This Row],[MDS Census]]</f>
        <v>0.29308961723584692</v>
      </c>
      <c r="W104" s="3">
        <v>5.8648888888888919</v>
      </c>
      <c r="X104" s="3">
        <v>5.3911111111111101</v>
      </c>
      <c r="Y104" s="3">
        <v>0</v>
      </c>
      <c r="Z104" s="3">
        <f>SUM(Table2[[#This Row],[Physical Therapist (PT) Hours]:[PT Aide Hours]])/Table2[[#This Row],[MDS Census]]</f>
        <v>0.23218886087554441</v>
      </c>
      <c r="AA104" s="3">
        <v>0</v>
      </c>
      <c r="AB104" s="3">
        <v>0</v>
      </c>
      <c r="AC104" s="3">
        <v>0</v>
      </c>
      <c r="AD104" s="3">
        <v>0</v>
      </c>
      <c r="AE104" s="3">
        <v>0</v>
      </c>
      <c r="AF104" s="3">
        <v>0</v>
      </c>
      <c r="AG104" s="3">
        <v>0</v>
      </c>
      <c r="AH104" s="1" t="s">
        <v>102</v>
      </c>
      <c r="AI104" s="17">
        <v>10</v>
      </c>
      <c r="AJ104" s="1"/>
    </row>
    <row r="105" spans="1:36" x14ac:dyDescent="0.2">
      <c r="A105" s="1" t="s">
        <v>128</v>
      </c>
      <c r="B105" s="1" t="s">
        <v>232</v>
      </c>
      <c r="C105" s="1" t="s">
        <v>263</v>
      </c>
      <c r="D105" s="1" t="s">
        <v>334</v>
      </c>
      <c r="E105" s="3">
        <v>46.022222222222226</v>
      </c>
      <c r="F105" s="3">
        <v>8.4166666666666661</v>
      </c>
      <c r="G105" s="3">
        <v>0</v>
      </c>
      <c r="H105" s="3">
        <v>0.41111111111111109</v>
      </c>
      <c r="I105" s="3">
        <v>0</v>
      </c>
      <c r="J105" s="3">
        <v>0</v>
      </c>
      <c r="K105" s="3">
        <v>0</v>
      </c>
      <c r="L105" s="3">
        <v>0.87366666666666681</v>
      </c>
      <c r="M105" s="3">
        <v>2.9774444444444441</v>
      </c>
      <c r="N105" s="3">
        <v>1.6290000000000004</v>
      </c>
      <c r="O105" s="3">
        <f>SUM(Table2[[#This Row],[Qualified Social Work Staff Hours]:[Other Social Work Staff Hours]])/Table2[[#This Row],[MDS Census]]</f>
        <v>0.10009174311926605</v>
      </c>
      <c r="P105" s="3">
        <v>4.8521111111111104</v>
      </c>
      <c r="Q105" s="3">
        <v>0</v>
      </c>
      <c r="R105" s="3">
        <f>SUM(Table2[[#This Row],[Qualified Activities Professional Hours]:[Other Activities Professional Hours]])/Table2[[#This Row],[MDS Census]]</f>
        <v>0.10542974408498308</v>
      </c>
      <c r="S105" s="3">
        <v>1.631777777777778</v>
      </c>
      <c r="T105" s="3">
        <v>0</v>
      </c>
      <c r="U105" s="3">
        <v>0</v>
      </c>
      <c r="V105" s="3">
        <f>SUM(Table2[[#This Row],[Occupational Therapist Hours]:[OT Aide Hours]])/Table2[[#This Row],[MDS Census]]</f>
        <v>3.5456301303718012E-2</v>
      </c>
      <c r="W105" s="3">
        <v>0.88877777777777789</v>
      </c>
      <c r="X105" s="3">
        <v>4.7938888888888895</v>
      </c>
      <c r="Y105" s="3">
        <v>0</v>
      </c>
      <c r="Z105" s="3">
        <f>SUM(Table2[[#This Row],[Physical Therapist (PT) Hours]:[PT Aide Hours]])/Table2[[#This Row],[MDS Census]]</f>
        <v>0.12347658136166105</v>
      </c>
      <c r="AA105" s="3">
        <v>0</v>
      </c>
      <c r="AB105" s="3">
        <v>0</v>
      </c>
      <c r="AC105" s="3">
        <v>0</v>
      </c>
      <c r="AD105" s="3">
        <v>0</v>
      </c>
      <c r="AE105" s="3">
        <v>0</v>
      </c>
      <c r="AF105" s="3">
        <v>0</v>
      </c>
      <c r="AG105" s="3">
        <v>0</v>
      </c>
      <c r="AH105" s="1" t="s">
        <v>103</v>
      </c>
      <c r="AI105" s="17">
        <v>10</v>
      </c>
      <c r="AJ105" s="1"/>
    </row>
    <row r="106" spans="1:36" x14ac:dyDescent="0.2">
      <c r="A106" s="1" t="s">
        <v>128</v>
      </c>
      <c r="B106" s="1" t="s">
        <v>233</v>
      </c>
      <c r="C106" s="1" t="s">
        <v>312</v>
      </c>
      <c r="D106" s="1" t="s">
        <v>339</v>
      </c>
      <c r="E106" s="3">
        <v>39.966666666666669</v>
      </c>
      <c r="F106" s="3">
        <v>5.6</v>
      </c>
      <c r="G106" s="3">
        <v>1.1555555555555554</v>
      </c>
      <c r="H106" s="3">
        <v>0.15555555555555556</v>
      </c>
      <c r="I106" s="3">
        <v>0.69444444444444442</v>
      </c>
      <c r="J106" s="3">
        <v>0</v>
      </c>
      <c r="K106" s="3">
        <v>0</v>
      </c>
      <c r="L106" s="3">
        <v>2.7715555555555547</v>
      </c>
      <c r="M106" s="3">
        <v>4.9972222222222218</v>
      </c>
      <c r="N106" s="3">
        <v>0</v>
      </c>
      <c r="O106" s="3">
        <f>SUM(Table2[[#This Row],[Qualified Social Work Staff Hours]:[Other Social Work Staff Hours]])/Table2[[#This Row],[MDS Census]]</f>
        <v>0.12503475118154014</v>
      </c>
      <c r="P106" s="3">
        <v>6.7555555555555555</v>
      </c>
      <c r="Q106" s="3">
        <v>4.9305555555555554</v>
      </c>
      <c r="R106" s="3">
        <f>SUM(Table2[[#This Row],[Qualified Activities Professional Hours]:[Other Activities Professional Hours]])/Table2[[#This Row],[MDS Census]]</f>
        <v>0.29239644147901023</v>
      </c>
      <c r="S106" s="3">
        <v>5.8131111111111107</v>
      </c>
      <c r="T106" s="3">
        <v>5.2288888888888883</v>
      </c>
      <c r="U106" s="3">
        <v>0</v>
      </c>
      <c r="V106" s="3">
        <f>SUM(Table2[[#This Row],[Occupational Therapist Hours]:[OT Aide Hours]])/Table2[[#This Row],[MDS Census]]</f>
        <v>0.2762802335279399</v>
      </c>
      <c r="W106" s="3">
        <v>5.1100000000000003</v>
      </c>
      <c r="X106" s="3">
        <v>5.301333333333333</v>
      </c>
      <c r="Y106" s="3">
        <v>0</v>
      </c>
      <c r="Z106" s="3">
        <f>SUM(Table2[[#This Row],[Physical Therapist (PT) Hours]:[PT Aide Hours]])/Table2[[#This Row],[MDS Census]]</f>
        <v>0.26050041701417848</v>
      </c>
      <c r="AA106" s="3">
        <v>0</v>
      </c>
      <c r="AB106" s="3">
        <v>0</v>
      </c>
      <c r="AC106" s="3">
        <v>0</v>
      </c>
      <c r="AD106" s="3">
        <v>0</v>
      </c>
      <c r="AE106" s="3">
        <v>0</v>
      </c>
      <c r="AF106" s="3">
        <v>0</v>
      </c>
      <c r="AG106" s="3">
        <v>0</v>
      </c>
      <c r="AH106" s="1" t="s">
        <v>104</v>
      </c>
      <c r="AI106" s="17">
        <v>10</v>
      </c>
      <c r="AJ106" s="1"/>
    </row>
    <row r="107" spans="1:36" x14ac:dyDescent="0.2">
      <c r="A107" s="1" t="s">
        <v>128</v>
      </c>
      <c r="B107" s="1" t="s">
        <v>234</v>
      </c>
      <c r="C107" s="1" t="s">
        <v>263</v>
      </c>
      <c r="D107" s="1" t="s">
        <v>334</v>
      </c>
      <c r="E107" s="3">
        <v>50.244444444444447</v>
      </c>
      <c r="F107" s="3">
        <v>5.6</v>
      </c>
      <c r="G107" s="3">
        <v>2.2222222222222223</v>
      </c>
      <c r="H107" s="3">
        <v>0</v>
      </c>
      <c r="I107" s="3">
        <v>1.0666666666666667</v>
      </c>
      <c r="J107" s="3">
        <v>0</v>
      </c>
      <c r="K107" s="3">
        <v>0</v>
      </c>
      <c r="L107" s="3">
        <v>1.6796666666666662</v>
      </c>
      <c r="M107" s="3">
        <v>4.9777777777777779</v>
      </c>
      <c r="N107" s="3">
        <v>0</v>
      </c>
      <c r="O107" s="3">
        <f>SUM(Table2[[#This Row],[Qualified Social Work Staff Hours]:[Other Social Work Staff Hours]])/Table2[[#This Row],[MDS Census]]</f>
        <v>9.9071207430340549E-2</v>
      </c>
      <c r="P107" s="3">
        <v>4.3277777777777775</v>
      </c>
      <c r="Q107" s="3">
        <v>0</v>
      </c>
      <c r="R107" s="3">
        <f>SUM(Table2[[#This Row],[Qualified Activities Professional Hours]:[Other Activities Professional Hours]])/Table2[[#This Row],[MDS Census]]</f>
        <v>8.613445378151259E-2</v>
      </c>
      <c r="S107" s="3">
        <v>4.7489999999999988</v>
      </c>
      <c r="T107" s="3">
        <v>2.7055555555555562</v>
      </c>
      <c r="U107" s="3">
        <v>0</v>
      </c>
      <c r="V107" s="3">
        <f>SUM(Table2[[#This Row],[Occupational Therapist Hours]:[OT Aide Hours]])/Table2[[#This Row],[MDS Census]]</f>
        <v>0.14836576735957538</v>
      </c>
      <c r="W107" s="3">
        <v>4.4723333333333324</v>
      </c>
      <c r="X107" s="3">
        <v>8.4666666666666682E-2</v>
      </c>
      <c r="Y107" s="3">
        <v>0</v>
      </c>
      <c r="Z107" s="3">
        <f>SUM(Table2[[#This Row],[Physical Therapist (PT) Hours]:[PT Aide Hours]])/Table2[[#This Row],[MDS Census]]</f>
        <v>9.0696594427244565E-2</v>
      </c>
      <c r="AA107" s="3">
        <v>0</v>
      </c>
      <c r="AB107" s="3">
        <v>0</v>
      </c>
      <c r="AC107" s="3">
        <v>0</v>
      </c>
      <c r="AD107" s="3">
        <v>0</v>
      </c>
      <c r="AE107" s="3">
        <v>0</v>
      </c>
      <c r="AF107" s="3">
        <v>0</v>
      </c>
      <c r="AG107" s="3">
        <v>0</v>
      </c>
      <c r="AH107" s="1" t="s">
        <v>105</v>
      </c>
      <c r="AI107" s="17">
        <v>10</v>
      </c>
      <c r="AJ107" s="1"/>
    </row>
    <row r="108" spans="1:36" x14ac:dyDescent="0.2">
      <c r="A108" s="1" t="s">
        <v>128</v>
      </c>
      <c r="B108" s="1" t="s">
        <v>235</v>
      </c>
      <c r="C108" s="1" t="s">
        <v>298</v>
      </c>
      <c r="D108" s="1" t="s">
        <v>344</v>
      </c>
      <c r="E108" s="3">
        <v>15.444444444444445</v>
      </c>
      <c r="F108" s="3">
        <v>13.635555555555555</v>
      </c>
      <c r="G108" s="3">
        <v>0.22222222222222221</v>
      </c>
      <c r="H108" s="3">
        <v>0.17633333333333331</v>
      </c>
      <c r="I108" s="3">
        <v>0.27500000000000002</v>
      </c>
      <c r="J108" s="3">
        <v>0</v>
      </c>
      <c r="K108" s="3">
        <v>0</v>
      </c>
      <c r="L108" s="3">
        <v>8.3333333333333329E-2</v>
      </c>
      <c r="M108" s="3">
        <v>0</v>
      </c>
      <c r="N108" s="3">
        <v>0</v>
      </c>
      <c r="O108" s="3">
        <f>SUM(Table2[[#This Row],[Qualified Social Work Staff Hours]:[Other Social Work Staff Hours]])/Table2[[#This Row],[MDS Census]]</f>
        <v>0</v>
      </c>
      <c r="P108" s="3">
        <v>4.9972222222222218</v>
      </c>
      <c r="Q108" s="3">
        <v>0</v>
      </c>
      <c r="R108" s="3">
        <f>SUM(Table2[[#This Row],[Qualified Activities Professional Hours]:[Other Activities Professional Hours]])/Table2[[#This Row],[MDS Census]]</f>
        <v>0.32356115107913663</v>
      </c>
      <c r="S108" s="3">
        <v>3.3833333333333333</v>
      </c>
      <c r="T108" s="3">
        <v>0.26111111111111113</v>
      </c>
      <c r="U108" s="3">
        <v>0</v>
      </c>
      <c r="V108" s="3">
        <f>SUM(Table2[[#This Row],[Occupational Therapist Hours]:[OT Aide Hours]])/Table2[[#This Row],[MDS Census]]</f>
        <v>0.23597122302158272</v>
      </c>
      <c r="W108" s="3">
        <v>2.3277777777777779</v>
      </c>
      <c r="X108" s="3">
        <v>0.57777777777777772</v>
      </c>
      <c r="Y108" s="3">
        <v>0</v>
      </c>
      <c r="Z108" s="3">
        <f>SUM(Table2[[#This Row],[Physical Therapist (PT) Hours]:[PT Aide Hours]])/Table2[[#This Row],[MDS Census]]</f>
        <v>0.18812949640287771</v>
      </c>
      <c r="AA108" s="3">
        <v>0</v>
      </c>
      <c r="AB108" s="3">
        <v>0</v>
      </c>
      <c r="AC108" s="3">
        <v>0</v>
      </c>
      <c r="AD108" s="3">
        <v>0</v>
      </c>
      <c r="AE108" s="3">
        <v>0</v>
      </c>
      <c r="AF108" s="3">
        <v>0</v>
      </c>
      <c r="AG108" s="3">
        <v>0</v>
      </c>
      <c r="AH108" s="1" t="s">
        <v>106</v>
      </c>
      <c r="AI108" s="17">
        <v>10</v>
      </c>
      <c r="AJ108" s="1"/>
    </row>
    <row r="109" spans="1:36" x14ac:dyDescent="0.2">
      <c r="A109" s="1" t="s">
        <v>128</v>
      </c>
      <c r="B109" s="1" t="s">
        <v>236</v>
      </c>
      <c r="C109" s="1" t="s">
        <v>302</v>
      </c>
      <c r="D109" s="1" t="s">
        <v>339</v>
      </c>
      <c r="E109" s="3">
        <v>68.688888888888883</v>
      </c>
      <c r="F109" s="3">
        <v>5.1888888888888891</v>
      </c>
      <c r="G109" s="3">
        <v>0.66533333333333322</v>
      </c>
      <c r="H109" s="3">
        <v>0</v>
      </c>
      <c r="I109" s="3">
        <v>2.1888888888888891</v>
      </c>
      <c r="J109" s="3">
        <v>0</v>
      </c>
      <c r="K109" s="3">
        <v>0.93222222222222229</v>
      </c>
      <c r="L109" s="3">
        <v>7.1097777777777793</v>
      </c>
      <c r="M109" s="3">
        <v>13.181111111111107</v>
      </c>
      <c r="N109" s="3">
        <v>0</v>
      </c>
      <c r="O109" s="3">
        <f>SUM(Table2[[#This Row],[Qualified Social Work Staff Hours]:[Other Social Work Staff Hours]])/Table2[[#This Row],[MDS Census]]</f>
        <v>0.19189582659333546</v>
      </c>
      <c r="P109" s="3">
        <v>3.4931111111111113</v>
      </c>
      <c r="Q109" s="3">
        <v>5.7241111111111129</v>
      </c>
      <c r="R109" s="3">
        <f>SUM(Table2[[#This Row],[Qualified Activities Professional Hours]:[Other Activities Professional Hours]])/Table2[[#This Row],[MDS Census]]</f>
        <v>0.13418796505985123</v>
      </c>
      <c r="S109" s="3">
        <v>6.870000000000001</v>
      </c>
      <c r="T109" s="3">
        <v>4.009444444444445</v>
      </c>
      <c r="U109" s="3">
        <v>0</v>
      </c>
      <c r="V109" s="3">
        <f>SUM(Table2[[#This Row],[Occupational Therapist Hours]:[OT Aide Hours]])/Table2[[#This Row],[MDS Census]]</f>
        <v>0.15838725331607897</v>
      </c>
      <c r="W109" s="3">
        <v>5.5661111111111108</v>
      </c>
      <c r="X109" s="3">
        <v>4.6644444444444435</v>
      </c>
      <c r="Y109" s="3">
        <v>0</v>
      </c>
      <c r="Z109" s="3">
        <f>SUM(Table2[[#This Row],[Physical Therapist (PT) Hours]:[PT Aide Hours]])/Table2[[#This Row],[MDS Census]]</f>
        <v>0.14894047233904883</v>
      </c>
      <c r="AA109" s="3">
        <v>0</v>
      </c>
      <c r="AB109" s="3">
        <v>0</v>
      </c>
      <c r="AC109" s="3">
        <v>0</v>
      </c>
      <c r="AD109" s="3">
        <v>0</v>
      </c>
      <c r="AE109" s="3">
        <v>0</v>
      </c>
      <c r="AF109" s="3">
        <v>0</v>
      </c>
      <c r="AG109" s="3">
        <v>0</v>
      </c>
      <c r="AH109" s="1" t="s">
        <v>107</v>
      </c>
      <c r="AI109" s="17">
        <v>10</v>
      </c>
      <c r="AJ109" s="1"/>
    </row>
    <row r="110" spans="1:36" x14ac:dyDescent="0.2">
      <c r="A110" s="1" t="s">
        <v>128</v>
      </c>
      <c r="B110" s="1" t="s">
        <v>237</v>
      </c>
      <c r="C110" s="1" t="s">
        <v>313</v>
      </c>
      <c r="D110" s="1" t="s">
        <v>339</v>
      </c>
      <c r="E110" s="3">
        <v>21.722222222222221</v>
      </c>
      <c r="F110" s="3">
        <v>5.2444444444444445</v>
      </c>
      <c r="G110" s="3">
        <v>1.1722222222222223</v>
      </c>
      <c r="H110" s="3">
        <v>0</v>
      </c>
      <c r="I110" s="3">
        <v>0.14444444444444443</v>
      </c>
      <c r="J110" s="3">
        <v>0.46111111111111114</v>
      </c>
      <c r="K110" s="3">
        <v>1.2666666666666666</v>
      </c>
      <c r="L110" s="3">
        <v>0.64266666666666672</v>
      </c>
      <c r="M110" s="3">
        <v>5.5055555555555555</v>
      </c>
      <c r="N110" s="3">
        <v>4.4944444444444445</v>
      </c>
      <c r="O110" s="3">
        <f>SUM(Table2[[#This Row],[Qualified Social Work Staff Hours]:[Other Social Work Staff Hours]])/Table2[[#This Row],[MDS Census]]</f>
        <v>0.46035805626598469</v>
      </c>
      <c r="P110" s="3">
        <v>2.1222222222222222</v>
      </c>
      <c r="Q110" s="3">
        <v>0</v>
      </c>
      <c r="R110" s="3">
        <f>SUM(Table2[[#This Row],[Qualified Activities Professional Hours]:[Other Activities Professional Hours]])/Table2[[#This Row],[MDS Census]]</f>
        <v>9.7698209718670076E-2</v>
      </c>
      <c r="S110" s="3">
        <v>2.467888888888889</v>
      </c>
      <c r="T110" s="3">
        <v>3.6688888888888895</v>
      </c>
      <c r="U110" s="3">
        <v>0</v>
      </c>
      <c r="V110" s="3">
        <f>SUM(Table2[[#This Row],[Occupational Therapist Hours]:[OT Aide Hours]])/Table2[[#This Row],[MDS Census]]</f>
        <v>0.2825115089514067</v>
      </c>
      <c r="W110" s="3">
        <v>9.230777777777778</v>
      </c>
      <c r="X110" s="3">
        <v>2.4617777777777778</v>
      </c>
      <c r="Y110" s="3">
        <v>0</v>
      </c>
      <c r="Z110" s="3">
        <f>SUM(Table2[[#This Row],[Physical Therapist (PT) Hours]:[PT Aide Hours]])/Table2[[#This Row],[MDS Census]]</f>
        <v>0.53827621483375965</v>
      </c>
      <c r="AA110" s="3">
        <v>0</v>
      </c>
      <c r="AB110" s="3">
        <v>0</v>
      </c>
      <c r="AC110" s="3">
        <v>0</v>
      </c>
      <c r="AD110" s="3">
        <v>0</v>
      </c>
      <c r="AE110" s="3">
        <v>0</v>
      </c>
      <c r="AF110" s="3">
        <v>0</v>
      </c>
      <c r="AG110" s="3">
        <v>0</v>
      </c>
      <c r="AH110" s="1" t="s">
        <v>108</v>
      </c>
      <c r="AI110" s="17">
        <v>10</v>
      </c>
      <c r="AJ110" s="1"/>
    </row>
    <row r="111" spans="1:36" x14ac:dyDescent="0.2">
      <c r="A111" s="1" t="s">
        <v>128</v>
      </c>
      <c r="B111" s="1" t="s">
        <v>238</v>
      </c>
      <c r="C111" s="1" t="s">
        <v>287</v>
      </c>
      <c r="D111" s="1" t="s">
        <v>321</v>
      </c>
      <c r="E111" s="3">
        <v>49.866666666666667</v>
      </c>
      <c r="F111" s="3">
        <v>5.6</v>
      </c>
      <c r="G111" s="3">
        <v>0.57777777777777772</v>
      </c>
      <c r="H111" s="3">
        <v>0.47666666666666696</v>
      </c>
      <c r="I111" s="3">
        <v>1.4777777777777779</v>
      </c>
      <c r="J111" s="3">
        <v>0</v>
      </c>
      <c r="K111" s="3">
        <v>0</v>
      </c>
      <c r="L111" s="3">
        <v>2.0888888888888891E-2</v>
      </c>
      <c r="M111" s="3">
        <v>8.8745555555555597</v>
      </c>
      <c r="N111" s="3">
        <v>0</v>
      </c>
      <c r="O111" s="3">
        <f>SUM(Table2[[#This Row],[Qualified Social Work Staff Hours]:[Other Social Work Staff Hours]])/Table2[[#This Row],[MDS Census]]</f>
        <v>0.1779656862745099</v>
      </c>
      <c r="P111" s="3">
        <v>4.9749999999999996</v>
      </c>
      <c r="Q111" s="3">
        <v>4.5451111111111109</v>
      </c>
      <c r="R111" s="3">
        <f>SUM(Table2[[#This Row],[Qualified Activities Professional Hours]:[Other Activities Professional Hours]])/Table2[[#This Row],[MDS Census]]</f>
        <v>0.19091131907308376</v>
      </c>
      <c r="S111" s="3">
        <v>4.152555555555554</v>
      </c>
      <c r="T111" s="3">
        <v>0</v>
      </c>
      <c r="U111" s="3">
        <v>0</v>
      </c>
      <c r="V111" s="3">
        <f>SUM(Table2[[#This Row],[Occupational Therapist Hours]:[OT Aide Hours]])/Table2[[#This Row],[MDS Census]]</f>
        <v>8.3273172905525814E-2</v>
      </c>
      <c r="W111" s="3">
        <v>2.6667777777777779</v>
      </c>
      <c r="X111" s="3">
        <v>2.7368888888888878</v>
      </c>
      <c r="Y111" s="3">
        <v>0</v>
      </c>
      <c r="Z111" s="3">
        <f>SUM(Table2[[#This Row],[Physical Therapist (PT) Hours]:[PT Aide Hours]])/Table2[[#This Row],[MDS Census]]</f>
        <v>0.10836229946524063</v>
      </c>
      <c r="AA111" s="3">
        <v>0</v>
      </c>
      <c r="AB111" s="3">
        <v>0</v>
      </c>
      <c r="AC111" s="3">
        <v>0</v>
      </c>
      <c r="AD111" s="3">
        <v>28.443000000000008</v>
      </c>
      <c r="AE111" s="3">
        <v>0</v>
      </c>
      <c r="AF111" s="3">
        <v>0</v>
      </c>
      <c r="AG111" s="3">
        <v>0</v>
      </c>
      <c r="AH111" s="1" t="s">
        <v>109</v>
      </c>
      <c r="AI111" s="17">
        <v>10</v>
      </c>
      <c r="AJ111" s="1"/>
    </row>
    <row r="112" spans="1:36" x14ac:dyDescent="0.2">
      <c r="A112" s="1" t="s">
        <v>128</v>
      </c>
      <c r="B112" s="1" t="s">
        <v>239</v>
      </c>
      <c r="C112" s="1" t="s">
        <v>314</v>
      </c>
      <c r="D112" s="1" t="s">
        <v>347</v>
      </c>
      <c r="E112" s="3">
        <v>22.922222222222221</v>
      </c>
      <c r="F112" s="3">
        <v>5.0666666666666664</v>
      </c>
      <c r="G112" s="3">
        <v>0.26666666666666666</v>
      </c>
      <c r="H112" s="3">
        <v>0.26666666666666666</v>
      </c>
      <c r="I112" s="3">
        <v>0.75</v>
      </c>
      <c r="J112" s="3">
        <v>0</v>
      </c>
      <c r="K112" s="3">
        <v>0</v>
      </c>
      <c r="L112" s="3">
        <v>9.5666666666666664E-2</v>
      </c>
      <c r="M112" s="3">
        <v>4.8055555555555554</v>
      </c>
      <c r="N112" s="3">
        <v>0</v>
      </c>
      <c r="O112" s="3">
        <f>SUM(Table2[[#This Row],[Qualified Social Work Staff Hours]:[Other Social Work Staff Hours]])/Table2[[#This Row],[MDS Census]]</f>
        <v>0.20964614638875426</v>
      </c>
      <c r="P112" s="3">
        <v>5.3916666666666666</v>
      </c>
      <c r="Q112" s="3">
        <v>0</v>
      </c>
      <c r="R112" s="3">
        <f>SUM(Table2[[#This Row],[Qualified Activities Professional Hours]:[Other Activities Professional Hours]])/Table2[[#This Row],[MDS Census]]</f>
        <v>0.23521570528356764</v>
      </c>
      <c r="S112" s="3">
        <v>0.627</v>
      </c>
      <c r="T112" s="3">
        <v>3.6301111111111104</v>
      </c>
      <c r="U112" s="3">
        <v>0</v>
      </c>
      <c r="V112" s="3">
        <f>SUM(Table2[[#This Row],[Occupational Therapist Hours]:[OT Aide Hours]])/Table2[[#This Row],[MDS Census]]</f>
        <v>0.18571982549684923</v>
      </c>
      <c r="W112" s="3">
        <v>5.232222222222223</v>
      </c>
      <c r="X112" s="3">
        <v>2.2818888888888891</v>
      </c>
      <c r="Y112" s="3">
        <v>5.2777777777777778E-2</v>
      </c>
      <c r="Z112" s="3">
        <f>SUM(Table2[[#This Row],[Physical Therapist (PT) Hours]:[PT Aide Hours]])/Table2[[#This Row],[MDS Census]]</f>
        <v>0.33011148812409119</v>
      </c>
      <c r="AA112" s="3">
        <v>0</v>
      </c>
      <c r="AB112" s="3">
        <v>0</v>
      </c>
      <c r="AC112" s="3">
        <v>0</v>
      </c>
      <c r="AD112" s="3">
        <v>0</v>
      </c>
      <c r="AE112" s="3">
        <v>0</v>
      </c>
      <c r="AF112" s="3">
        <v>0</v>
      </c>
      <c r="AG112" s="3">
        <v>0</v>
      </c>
      <c r="AH112" s="1" t="s">
        <v>110</v>
      </c>
      <c r="AI112" s="17">
        <v>10</v>
      </c>
      <c r="AJ112" s="1"/>
    </row>
    <row r="113" spans="1:36" x14ac:dyDescent="0.2">
      <c r="A113" s="1" t="s">
        <v>128</v>
      </c>
      <c r="B113" s="1" t="s">
        <v>240</v>
      </c>
      <c r="C113" s="1" t="s">
        <v>263</v>
      </c>
      <c r="D113" s="1" t="s">
        <v>334</v>
      </c>
      <c r="E113" s="3">
        <v>30.3</v>
      </c>
      <c r="F113" s="3">
        <v>5.25</v>
      </c>
      <c r="G113" s="3">
        <v>0.35555555555555562</v>
      </c>
      <c r="H113" s="3">
        <v>0.12777777777777777</v>
      </c>
      <c r="I113" s="3">
        <v>2.702222222222221</v>
      </c>
      <c r="J113" s="3">
        <v>0</v>
      </c>
      <c r="K113" s="3">
        <v>0</v>
      </c>
      <c r="L113" s="3">
        <v>0.99377777777777765</v>
      </c>
      <c r="M113" s="3">
        <v>5.083333333333333</v>
      </c>
      <c r="N113" s="3">
        <v>0</v>
      </c>
      <c r="O113" s="3">
        <f>SUM(Table2[[#This Row],[Qualified Social Work Staff Hours]:[Other Social Work Staff Hours]])/Table2[[#This Row],[MDS Census]]</f>
        <v>0.16776677667766776</v>
      </c>
      <c r="P113" s="3">
        <v>0</v>
      </c>
      <c r="Q113" s="3">
        <v>4.8884444444444428</v>
      </c>
      <c r="R113" s="3">
        <f>SUM(Table2[[#This Row],[Qualified Activities Professional Hours]:[Other Activities Professional Hours]])/Table2[[#This Row],[MDS Census]]</f>
        <v>0.16133480014668128</v>
      </c>
      <c r="S113" s="3">
        <v>2.3173333333333326</v>
      </c>
      <c r="T113" s="3">
        <v>0.15622222222222223</v>
      </c>
      <c r="U113" s="3">
        <v>0</v>
      </c>
      <c r="V113" s="3">
        <f>SUM(Table2[[#This Row],[Occupational Therapist Hours]:[OT Aide Hours]])/Table2[[#This Row],[MDS Census]]</f>
        <v>8.1635496883021602E-2</v>
      </c>
      <c r="W113" s="3">
        <v>4.4523333333333337</v>
      </c>
      <c r="X113" s="3">
        <v>5.6666666666666664E-2</v>
      </c>
      <c r="Y113" s="3">
        <v>0</v>
      </c>
      <c r="Z113" s="3">
        <f>SUM(Table2[[#This Row],[Physical Therapist (PT) Hours]:[PT Aide Hours]])/Table2[[#This Row],[MDS Census]]</f>
        <v>0.14881188118811883</v>
      </c>
      <c r="AA113" s="3">
        <v>0</v>
      </c>
      <c r="AB113" s="3">
        <v>0</v>
      </c>
      <c r="AC113" s="3">
        <v>0</v>
      </c>
      <c r="AD113" s="3">
        <v>0</v>
      </c>
      <c r="AE113" s="3">
        <v>0</v>
      </c>
      <c r="AF113" s="3">
        <v>0</v>
      </c>
      <c r="AG113" s="3">
        <v>0</v>
      </c>
      <c r="AH113" s="1" t="s">
        <v>111</v>
      </c>
      <c r="AI113" s="17">
        <v>10</v>
      </c>
      <c r="AJ113" s="1"/>
    </row>
    <row r="114" spans="1:36" x14ac:dyDescent="0.2">
      <c r="A114" s="1" t="s">
        <v>128</v>
      </c>
      <c r="B114" s="1" t="s">
        <v>241</v>
      </c>
      <c r="C114" s="1" t="s">
        <v>260</v>
      </c>
      <c r="D114" s="1" t="s">
        <v>344</v>
      </c>
      <c r="E114" s="3">
        <v>31.111111111111111</v>
      </c>
      <c r="F114" s="3">
        <v>4.7111111111111112</v>
      </c>
      <c r="G114" s="3">
        <v>0.36944444444444446</v>
      </c>
      <c r="H114" s="3">
        <v>0.15555555555555556</v>
      </c>
      <c r="I114" s="3">
        <v>0.30277777777777776</v>
      </c>
      <c r="J114" s="3">
        <v>0</v>
      </c>
      <c r="K114" s="3">
        <v>0</v>
      </c>
      <c r="L114" s="3">
        <v>0.49555555555555558</v>
      </c>
      <c r="M114" s="3">
        <v>3.9686666666666666</v>
      </c>
      <c r="N114" s="3">
        <v>0</v>
      </c>
      <c r="O114" s="3">
        <f>SUM(Table2[[#This Row],[Qualified Social Work Staff Hours]:[Other Social Work Staff Hours]])/Table2[[#This Row],[MDS Census]]</f>
        <v>0.12756428571428571</v>
      </c>
      <c r="P114" s="3">
        <v>0</v>
      </c>
      <c r="Q114" s="3">
        <v>3.9170000000000011</v>
      </c>
      <c r="R114" s="3">
        <f>SUM(Table2[[#This Row],[Qualified Activities Professional Hours]:[Other Activities Professional Hours]])/Table2[[#This Row],[MDS Census]]</f>
        <v>0.12590357142857148</v>
      </c>
      <c r="S114" s="3">
        <v>0</v>
      </c>
      <c r="T114" s="3">
        <v>0</v>
      </c>
      <c r="U114" s="3">
        <v>0</v>
      </c>
      <c r="V114" s="3">
        <f>SUM(Table2[[#This Row],[Occupational Therapist Hours]:[OT Aide Hours]])/Table2[[#This Row],[MDS Census]]</f>
        <v>0</v>
      </c>
      <c r="W114" s="3">
        <v>0</v>
      </c>
      <c r="X114" s="3">
        <v>0</v>
      </c>
      <c r="Y114" s="3">
        <v>0</v>
      </c>
      <c r="Z114" s="3">
        <f>SUM(Table2[[#This Row],[Physical Therapist (PT) Hours]:[PT Aide Hours]])/Table2[[#This Row],[MDS Census]]</f>
        <v>0</v>
      </c>
      <c r="AA114" s="3">
        <v>0</v>
      </c>
      <c r="AB114" s="3">
        <v>0</v>
      </c>
      <c r="AC114" s="3">
        <v>0</v>
      </c>
      <c r="AD114" s="3">
        <v>31.890888888888888</v>
      </c>
      <c r="AE114" s="3">
        <v>0</v>
      </c>
      <c r="AF114" s="3">
        <v>0</v>
      </c>
      <c r="AG114" s="3">
        <v>0</v>
      </c>
      <c r="AH114" s="1" t="s">
        <v>112</v>
      </c>
      <c r="AI114" s="17">
        <v>10</v>
      </c>
      <c r="AJ114" s="1"/>
    </row>
    <row r="115" spans="1:36" x14ac:dyDescent="0.2">
      <c r="A115" s="1" t="s">
        <v>128</v>
      </c>
      <c r="B115" s="1" t="s">
        <v>242</v>
      </c>
      <c r="C115" s="1" t="s">
        <v>281</v>
      </c>
      <c r="D115" s="1" t="s">
        <v>335</v>
      </c>
      <c r="E115" s="3">
        <v>14.188888888888888</v>
      </c>
      <c r="F115" s="3">
        <v>4.416666666666667</v>
      </c>
      <c r="G115" s="3">
        <v>0.25555555555555554</v>
      </c>
      <c r="H115" s="3">
        <v>8.8888888888888892E-2</v>
      </c>
      <c r="I115" s="3">
        <v>0.3888888888888889</v>
      </c>
      <c r="J115" s="3">
        <v>0</v>
      </c>
      <c r="K115" s="3">
        <v>0</v>
      </c>
      <c r="L115" s="3">
        <v>6.4777777777777781E-2</v>
      </c>
      <c r="M115" s="3">
        <v>5.3055555555555562</v>
      </c>
      <c r="N115" s="3">
        <v>0</v>
      </c>
      <c r="O115" s="3">
        <f>SUM(Table2[[#This Row],[Qualified Social Work Staff Hours]:[Other Social Work Staff Hours]])/Table2[[#This Row],[MDS Census]]</f>
        <v>0.37392325763508227</v>
      </c>
      <c r="P115" s="3">
        <v>0</v>
      </c>
      <c r="Q115" s="3">
        <v>4.6893333333333338</v>
      </c>
      <c r="R115" s="3">
        <f>SUM(Table2[[#This Row],[Qualified Activities Professional Hours]:[Other Activities Professional Hours]])/Table2[[#This Row],[MDS Census]]</f>
        <v>0.33049334377447148</v>
      </c>
      <c r="S115" s="3">
        <v>0.21466666666666662</v>
      </c>
      <c r="T115" s="3">
        <v>0.39477777777777778</v>
      </c>
      <c r="U115" s="3">
        <v>0</v>
      </c>
      <c r="V115" s="3">
        <f>SUM(Table2[[#This Row],[Occupational Therapist Hours]:[OT Aide Hours]])/Table2[[#This Row],[MDS Census]]</f>
        <v>4.2952231793265468E-2</v>
      </c>
      <c r="W115" s="3">
        <v>3.5583333333333345</v>
      </c>
      <c r="X115" s="3">
        <v>6.6777777777777769E-2</v>
      </c>
      <c r="Y115" s="3">
        <v>0</v>
      </c>
      <c r="Z115" s="3">
        <f>SUM(Table2[[#This Row],[Physical Therapist (PT) Hours]:[PT Aide Hours]])/Table2[[#This Row],[MDS Census]]</f>
        <v>0.25548942834769001</v>
      </c>
      <c r="AA115" s="3">
        <v>0</v>
      </c>
      <c r="AB115" s="3">
        <v>0</v>
      </c>
      <c r="AC115" s="3">
        <v>0</v>
      </c>
      <c r="AD115" s="3">
        <v>0</v>
      </c>
      <c r="AE115" s="3">
        <v>0</v>
      </c>
      <c r="AF115" s="3">
        <v>0</v>
      </c>
      <c r="AG115" s="3">
        <v>0</v>
      </c>
      <c r="AH115" s="1" t="s">
        <v>113</v>
      </c>
      <c r="AI115" s="17">
        <v>10</v>
      </c>
      <c r="AJ115" s="1"/>
    </row>
    <row r="116" spans="1:36" x14ac:dyDescent="0.2">
      <c r="A116" s="1" t="s">
        <v>128</v>
      </c>
      <c r="B116" s="1" t="s">
        <v>243</v>
      </c>
      <c r="C116" s="1" t="s">
        <v>263</v>
      </c>
      <c r="D116" s="1" t="s">
        <v>334</v>
      </c>
      <c r="E116" s="3">
        <v>31.977777777777778</v>
      </c>
      <c r="F116" s="3">
        <v>10.311111111111112</v>
      </c>
      <c r="G116" s="3">
        <v>0.43333333333333335</v>
      </c>
      <c r="H116" s="3">
        <v>0.13333333333333333</v>
      </c>
      <c r="I116" s="3">
        <v>2.112222222222222</v>
      </c>
      <c r="J116" s="3">
        <v>0</v>
      </c>
      <c r="K116" s="3">
        <v>0</v>
      </c>
      <c r="L116" s="3">
        <v>1.4580000000000004</v>
      </c>
      <c r="M116" s="3">
        <v>0</v>
      </c>
      <c r="N116" s="3">
        <v>5.2421111111111109</v>
      </c>
      <c r="O116" s="3">
        <f>SUM(Table2[[#This Row],[Qualified Social Work Staff Hours]:[Other Social Work Staff Hours]])/Table2[[#This Row],[MDS Census]]</f>
        <v>0.16392981236970117</v>
      </c>
      <c r="P116" s="3">
        <v>0</v>
      </c>
      <c r="Q116" s="3">
        <v>0</v>
      </c>
      <c r="R116" s="3">
        <f>SUM(Table2[[#This Row],[Qualified Activities Professional Hours]:[Other Activities Professional Hours]])/Table2[[#This Row],[MDS Census]]</f>
        <v>0</v>
      </c>
      <c r="S116" s="3">
        <v>5.3555555555555558E-2</v>
      </c>
      <c r="T116" s="3">
        <v>1.6803333333333326</v>
      </c>
      <c r="U116" s="3">
        <v>0</v>
      </c>
      <c r="V116" s="3">
        <f>SUM(Table2[[#This Row],[Occupational Therapist Hours]:[OT Aide Hours]])/Table2[[#This Row],[MDS Census]]</f>
        <v>5.422168172341902E-2</v>
      </c>
      <c r="W116" s="3">
        <v>0.46777777777777779</v>
      </c>
      <c r="X116" s="3">
        <v>5.7249999999999996</v>
      </c>
      <c r="Y116" s="3">
        <v>0</v>
      </c>
      <c r="Z116" s="3">
        <f>SUM(Table2[[#This Row],[Physical Therapist (PT) Hours]:[PT Aide Hours]])/Table2[[#This Row],[MDS Census]]</f>
        <v>0.19365879082696316</v>
      </c>
      <c r="AA116" s="3">
        <v>0</v>
      </c>
      <c r="AB116" s="3">
        <v>0</v>
      </c>
      <c r="AC116" s="3">
        <v>0</v>
      </c>
      <c r="AD116" s="3">
        <v>0</v>
      </c>
      <c r="AE116" s="3">
        <v>0</v>
      </c>
      <c r="AF116" s="3">
        <v>0</v>
      </c>
      <c r="AG116" s="3">
        <v>0</v>
      </c>
      <c r="AH116" s="1" t="s">
        <v>114</v>
      </c>
      <c r="AI116" s="17">
        <v>10</v>
      </c>
      <c r="AJ116" s="1"/>
    </row>
    <row r="117" spans="1:36" x14ac:dyDescent="0.2">
      <c r="A117" s="1" t="s">
        <v>128</v>
      </c>
      <c r="B117" s="1" t="s">
        <v>244</v>
      </c>
      <c r="C117" s="1" t="s">
        <v>315</v>
      </c>
      <c r="D117" s="1" t="s">
        <v>339</v>
      </c>
      <c r="E117" s="3">
        <v>60.37777777777778</v>
      </c>
      <c r="F117" s="3">
        <v>5.6</v>
      </c>
      <c r="G117" s="3">
        <v>0.57777777777777772</v>
      </c>
      <c r="H117" s="3">
        <v>0.36666666666666664</v>
      </c>
      <c r="I117" s="3">
        <v>1.3555555555555556</v>
      </c>
      <c r="J117" s="3">
        <v>0</v>
      </c>
      <c r="K117" s="3">
        <v>0</v>
      </c>
      <c r="L117" s="3">
        <v>0.37599999999999995</v>
      </c>
      <c r="M117" s="3">
        <v>1.8666666666666667</v>
      </c>
      <c r="N117" s="3">
        <v>0</v>
      </c>
      <c r="O117" s="3">
        <f>SUM(Table2[[#This Row],[Qualified Social Work Staff Hours]:[Other Social Work Staff Hours]])/Table2[[#This Row],[MDS Census]]</f>
        <v>3.0916451969083547E-2</v>
      </c>
      <c r="P117" s="3">
        <v>5.3556666666666661</v>
      </c>
      <c r="Q117" s="3">
        <v>13.855555555555556</v>
      </c>
      <c r="R117" s="3">
        <f>SUM(Table2[[#This Row],[Qualified Activities Professional Hours]:[Other Activities Professional Hours]])/Table2[[#This Row],[MDS Census]]</f>
        <v>0.31818365844681634</v>
      </c>
      <c r="S117" s="3">
        <v>2.5597777777777782</v>
      </c>
      <c r="T117" s="3">
        <v>0</v>
      </c>
      <c r="U117" s="3">
        <v>0</v>
      </c>
      <c r="V117" s="3">
        <f>SUM(Table2[[#This Row],[Occupational Therapist Hours]:[OT Aide Hours]])/Table2[[#This Row],[MDS Census]]</f>
        <v>4.2396025027603979E-2</v>
      </c>
      <c r="W117" s="3">
        <v>2.8214444444444453</v>
      </c>
      <c r="X117" s="3">
        <v>0</v>
      </c>
      <c r="Y117" s="3">
        <v>0</v>
      </c>
      <c r="Z117" s="3">
        <f>SUM(Table2[[#This Row],[Physical Therapist (PT) Hours]:[PT Aide Hours]])/Table2[[#This Row],[MDS Census]]</f>
        <v>4.6729849098270167E-2</v>
      </c>
      <c r="AA117" s="3">
        <v>0</v>
      </c>
      <c r="AB117" s="3">
        <v>0</v>
      </c>
      <c r="AC117" s="3">
        <v>0</v>
      </c>
      <c r="AD117" s="3">
        <v>0</v>
      </c>
      <c r="AE117" s="3">
        <v>0</v>
      </c>
      <c r="AF117" s="3">
        <v>0</v>
      </c>
      <c r="AG117" s="3">
        <v>0</v>
      </c>
      <c r="AH117" s="1" t="s">
        <v>115</v>
      </c>
      <c r="AI117" s="17">
        <v>10</v>
      </c>
      <c r="AJ117" s="1"/>
    </row>
    <row r="118" spans="1:36" x14ac:dyDescent="0.2">
      <c r="A118" s="1" t="s">
        <v>128</v>
      </c>
      <c r="B118" s="1" t="s">
        <v>245</v>
      </c>
      <c r="C118" s="1" t="s">
        <v>316</v>
      </c>
      <c r="D118" s="1" t="s">
        <v>339</v>
      </c>
      <c r="E118" s="3">
        <v>40.43333333333333</v>
      </c>
      <c r="F118" s="3">
        <v>4.4444444444444446</v>
      </c>
      <c r="G118" s="3">
        <v>1.1555555555555554</v>
      </c>
      <c r="H118" s="3">
        <v>0.25555555555555554</v>
      </c>
      <c r="I118" s="3">
        <v>5.2972222222222225</v>
      </c>
      <c r="J118" s="3">
        <v>0</v>
      </c>
      <c r="K118" s="3">
        <v>6.3111111111111109</v>
      </c>
      <c r="L118" s="3">
        <v>3.8605555555555537</v>
      </c>
      <c r="M118" s="3">
        <v>10.202777777777778</v>
      </c>
      <c r="N118" s="3">
        <v>0</v>
      </c>
      <c r="O118" s="3">
        <f>SUM(Table2[[#This Row],[Qualified Social Work Staff Hours]:[Other Social Work Staff Hours]])/Table2[[#This Row],[MDS Census]]</f>
        <v>0.25233580654025833</v>
      </c>
      <c r="P118" s="3">
        <v>11.161111111111111</v>
      </c>
      <c r="Q118" s="3">
        <v>4.4185555555555558</v>
      </c>
      <c r="R118" s="3">
        <f>SUM(Table2[[#This Row],[Qualified Activities Professional Hours]:[Other Activities Professional Hours]])/Table2[[#This Row],[MDS Census]]</f>
        <v>0.38531739488870576</v>
      </c>
      <c r="S118" s="3">
        <v>7.4721111111111087</v>
      </c>
      <c r="T118" s="3">
        <v>8.4199999999999946</v>
      </c>
      <c r="U118" s="3">
        <v>0</v>
      </c>
      <c r="V118" s="3">
        <f>SUM(Table2[[#This Row],[Occupational Therapist Hours]:[OT Aide Hours]])/Table2[[#This Row],[MDS Census]]</f>
        <v>0.39304479252541891</v>
      </c>
      <c r="W118" s="3">
        <v>7.9284444444444437</v>
      </c>
      <c r="X118" s="3">
        <v>8.5655555555555551</v>
      </c>
      <c r="Y118" s="3">
        <v>0</v>
      </c>
      <c r="Z118" s="3">
        <f>SUM(Table2[[#This Row],[Physical Therapist (PT) Hours]:[PT Aide Hours]])/Table2[[#This Row],[MDS Census]]</f>
        <v>0.40793075020610059</v>
      </c>
      <c r="AA118" s="3">
        <v>0</v>
      </c>
      <c r="AB118" s="3">
        <v>0</v>
      </c>
      <c r="AC118" s="3">
        <v>0</v>
      </c>
      <c r="AD118" s="3">
        <v>0</v>
      </c>
      <c r="AE118" s="3">
        <v>0</v>
      </c>
      <c r="AF118" s="3">
        <v>0</v>
      </c>
      <c r="AG118" s="3">
        <v>0</v>
      </c>
      <c r="AH118" s="1" t="s">
        <v>116</v>
      </c>
      <c r="AI118" s="17">
        <v>10</v>
      </c>
      <c r="AJ118" s="1"/>
    </row>
    <row r="119" spans="1:36" x14ac:dyDescent="0.2">
      <c r="A119" s="1" t="s">
        <v>128</v>
      </c>
      <c r="B119" s="1" t="s">
        <v>246</v>
      </c>
      <c r="C119" s="1" t="s">
        <v>267</v>
      </c>
      <c r="D119" s="1" t="s">
        <v>331</v>
      </c>
      <c r="E119" s="3">
        <v>131.57777777777778</v>
      </c>
      <c r="F119" s="3">
        <v>8.3555555555555561</v>
      </c>
      <c r="G119" s="3">
        <v>1.1555555555555554</v>
      </c>
      <c r="H119" s="3">
        <v>0.48888888888888887</v>
      </c>
      <c r="I119" s="3">
        <v>5.2777777777777777</v>
      </c>
      <c r="J119" s="3">
        <v>0</v>
      </c>
      <c r="K119" s="3">
        <v>0</v>
      </c>
      <c r="L119" s="3">
        <v>0</v>
      </c>
      <c r="M119" s="3">
        <v>9.6888888888888882</v>
      </c>
      <c r="N119" s="3">
        <v>8.5250000000000004</v>
      </c>
      <c r="O119" s="3">
        <f>SUM(Table2[[#This Row],[Qualified Social Work Staff Hours]:[Other Social Work Staff Hours]])/Table2[[#This Row],[MDS Census]]</f>
        <v>0.13842678601587569</v>
      </c>
      <c r="P119" s="3">
        <v>13.458333333333334</v>
      </c>
      <c r="Q119" s="3">
        <v>18.680555555555557</v>
      </c>
      <c r="R119" s="3">
        <f>SUM(Table2[[#This Row],[Qualified Activities Professional Hours]:[Other Activities Professional Hours]])/Table2[[#This Row],[MDS Census]]</f>
        <v>0.24425772673534879</v>
      </c>
      <c r="S119" s="3">
        <v>0.52388888888888885</v>
      </c>
      <c r="T119" s="3">
        <v>1.8488888888888897</v>
      </c>
      <c r="U119" s="3">
        <v>0</v>
      </c>
      <c r="V119" s="3">
        <f>SUM(Table2[[#This Row],[Occupational Therapist Hours]:[OT Aide Hours]])/Table2[[#This Row],[MDS Census]]</f>
        <v>1.8033271406856954E-2</v>
      </c>
      <c r="W119" s="3">
        <v>1.1758888888888888</v>
      </c>
      <c r="X119" s="3">
        <v>3.9567777777777775</v>
      </c>
      <c r="Y119" s="3">
        <v>0</v>
      </c>
      <c r="Z119" s="3">
        <f>SUM(Table2[[#This Row],[Physical Therapist (PT) Hours]:[PT Aide Hours]])/Table2[[#This Row],[MDS Census]]</f>
        <v>3.9008613409896975E-2</v>
      </c>
      <c r="AA119" s="3">
        <v>0</v>
      </c>
      <c r="AB119" s="3">
        <v>0</v>
      </c>
      <c r="AC119" s="3">
        <v>0</v>
      </c>
      <c r="AD119" s="3">
        <v>0</v>
      </c>
      <c r="AE119" s="3">
        <v>0</v>
      </c>
      <c r="AF119" s="3">
        <v>0</v>
      </c>
      <c r="AG119" s="3">
        <v>1.3964444444444442</v>
      </c>
      <c r="AH119" s="1" t="s">
        <v>117</v>
      </c>
      <c r="AI119" s="17">
        <v>10</v>
      </c>
      <c r="AJ119" s="1"/>
    </row>
    <row r="120" spans="1:36" x14ac:dyDescent="0.2">
      <c r="A120" s="1" t="s">
        <v>128</v>
      </c>
      <c r="B120" s="1" t="s">
        <v>247</v>
      </c>
      <c r="C120" s="1" t="s">
        <v>289</v>
      </c>
      <c r="D120" s="1" t="s">
        <v>341</v>
      </c>
      <c r="E120" s="3">
        <v>25.944444444444443</v>
      </c>
      <c r="F120" s="3">
        <v>5.6008888888888908</v>
      </c>
      <c r="G120" s="3">
        <v>0.57777777777777772</v>
      </c>
      <c r="H120" s="3">
        <v>3.6666666666666667E-2</v>
      </c>
      <c r="I120" s="3">
        <v>0</v>
      </c>
      <c r="J120" s="3">
        <v>0</v>
      </c>
      <c r="K120" s="3">
        <v>0</v>
      </c>
      <c r="L120" s="3">
        <v>0.21822222222222223</v>
      </c>
      <c r="M120" s="3">
        <v>4.5911111111111103</v>
      </c>
      <c r="N120" s="3">
        <v>0</v>
      </c>
      <c r="O120" s="3">
        <f>SUM(Table2[[#This Row],[Qualified Social Work Staff Hours]:[Other Social Work Staff Hours]])/Table2[[#This Row],[MDS Census]]</f>
        <v>0.17695931477516058</v>
      </c>
      <c r="P120" s="3">
        <v>6.461333333333334</v>
      </c>
      <c r="Q120" s="3">
        <v>0.16333333333333333</v>
      </c>
      <c r="R120" s="3">
        <f>SUM(Table2[[#This Row],[Qualified Activities Professional Hours]:[Other Activities Professional Hours]])/Table2[[#This Row],[MDS Census]]</f>
        <v>0.25534047109207714</v>
      </c>
      <c r="S120" s="3">
        <v>0.47444444444444434</v>
      </c>
      <c r="T120" s="3">
        <v>0.58988888888888891</v>
      </c>
      <c r="U120" s="3">
        <v>0</v>
      </c>
      <c r="V120" s="3">
        <f>SUM(Table2[[#This Row],[Occupational Therapist Hours]:[OT Aide Hours]])/Table2[[#This Row],[MDS Census]]</f>
        <v>4.1023554603854394E-2</v>
      </c>
      <c r="W120" s="3">
        <v>3.4315555555555539</v>
      </c>
      <c r="X120" s="3">
        <v>0.30177777777777776</v>
      </c>
      <c r="Y120" s="3">
        <v>0</v>
      </c>
      <c r="Z120" s="3">
        <f>SUM(Table2[[#This Row],[Physical Therapist (PT) Hours]:[PT Aide Hours]])/Table2[[#This Row],[MDS Census]]</f>
        <v>0.14389721627408988</v>
      </c>
      <c r="AA120" s="3">
        <v>0</v>
      </c>
      <c r="AB120" s="3">
        <v>0</v>
      </c>
      <c r="AC120" s="3">
        <v>0</v>
      </c>
      <c r="AD120" s="3">
        <v>0</v>
      </c>
      <c r="AE120" s="3">
        <v>0</v>
      </c>
      <c r="AF120" s="3">
        <v>0</v>
      </c>
      <c r="AG120" s="3">
        <v>0</v>
      </c>
      <c r="AH120" s="1" t="s">
        <v>118</v>
      </c>
      <c r="AI120" s="17">
        <v>10</v>
      </c>
      <c r="AJ120" s="1"/>
    </row>
    <row r="121" spans="1:36" x14ac:dyDescent="0.2">
      <c r="A121" s="1" t="s">
        <v>128</v>
      </c>
      <c r="B121" s="1" t="s">
        <v>248</v>
      </c>
      <c r="C121" s="1" t="s">
        <v>317</v>
      </c>
      <c r="D121" s="1" t="s">
        <v>324</v>
      </c>
      <c r="E121" s="3">
        <v>25.444444444444443</v>
      </c>
      <c r="F121" s="3">
        <v>4.0888888888888886</v>
      </c>
      <c r="G121" s="3">
        <v>0.3611111111111111</v>
      </c>
      <c r="H121" s="3">
        <v>0.12777777777777777</v>
      </c>
      <c r="I121" s="3">
        <v>0.12777777777777777</v>
      </c>
      <c r="J121" s="3">
        <v>0</v>
      </c>
      <c r="K121" s="3">
        <v>0</v>
      </c>
      <c r="L121" s="3">
        <v>0</v>
      </c>
      <c r="M121" s="3">
        <v>5.6222222222222218</v>
      </c>
      <c r="N121" s="3">
        <v>0</v>
      </c>
      <c r="O121" s="3">
        <f>SUM(Table2[[#This Row],[Qualified Social Work Staff Hours]:[Other Social Work Staff Hours]])/Table2[[#This Row],[MDS Census]]</f>
        <v>0.22096069868995633</v>
      </c>
      <c r="P121" s="3">
        <v>3.6583333333333332</v>
      </c>
      <c r="Q121" s="3">
        <v>0.98611111111111116</v>
      </c>
      <c r="R121" s="3">
        <f>SUM(Table2[[#This Row],[Qualified Activities Professional Hours]:[Other Activities Professional Hours]])/Table2[[#This Row],[MDS Census]]</f>
        <v>0.18253275109170305</v>
      </c>
      <c r="S121" s="3">
        <v>0</v>
      </c>
      <c r="T121" s="3">
        <v>0</v>
      </c>
      <c r="U121" s="3">
        <v>0</v>
      </c>
      <c r="V121" s="3">
        <f>SUM(Table2[[#This Row],[Occupational Therapist Hours]:[OT Aide Hours]])/Table2[[#This Row],[MDS Census]]</f>
        <v>0</v>
      </c>
      <c r="W121" s="3">
        <v>0</v>
      </c>
      <c r="X121" s="3">
        <v>0</v>
      </c>
      <c r="Y121" s="3">
        <v>0</v>
      </c>
      <c r="Z121" s="3">
        <f>SUM(Table2[[#This Row],[Physical Therapist (PT) Hours]:[PT Aide Hours]])/Table2[[#This Row],[MDS Census]]</f>
        <v>0</v>
      </c>
      <c r="AA121" s="3">
        <v>0</v>
      </c>
      <c r="AB121" s="3">
        <v>0</v>
      </c>
      <c r="AC121" s="3">
        <v>0</v>
      </c>
      <c r="AD121" s="3">
        <v>0</v>
      </c>
      <c r="AE121" s="3">
        <v>0</v>
      </c>
      <c r="AF121" s="3">
        <v>0</v>
      </c>
      <c r="AG121" s="3">
        <v>0</v>
      </c>
      <c r="AH121" s="1" t="s">
        <v>119</v>
      </c>
      <c r="AI121" s="17">
        <v>10</v>
      </c>
      <c r="AJ121" s="1"/>
    </row>
    <row r="122" spans="1:36" x14ac:dyDescent="0.2">
      <c r="A122" s="1" t="s">
        <v>128</v>
      </c>
      <c r="B122" s="1" t="s">
        <v>249</v>
      </c>
      <c r="C122" s="1" t="s">
        <v>263</v>
      </c>
      <c r="D122" s="1" t="s">
        <v>321</v>
      </c>
      <c r="E122" s="3">
        <v>37.777777777777779</v>
      </c>
      <c r="F122" s="3">
        <v>6.5777777777777775</v>
      </c>
      <c r="G122" s="3">
        <v>0.31111111111111112</v>
      </c>
      <c r="H122" s="3">
        <v>0.19444444444444445</v>
      </c>
      <c r="I122" s="3">
        <v>0.2388888888888889</v>
      </c>
      <c r="J122" s="3">
        <v>0</v>
      </c>
      <c r="K122" s="3">
        <v>0</v>
      </c>
      <c r="L122" s="3">
        <v>0</v>
      </c>
      <c r="M122" s="3">
        <v>5.5222222222222221</v>
      </c>
      <c r="N122" s="3">
        <v>0</v>
      </c>
      <c r="O122" s="3">
        <f>SUM(Table2[[#This Row],[Qualified Social Work Staff Hours]:[Other Social Work Staff Hours]])/Table2[[#This Row],[MDS Census]]</f>
        <v>0.1461764705882353</v>
      </c>
      <c r="P122" s="3">
        <v>4.4749999999999996</v>
      </c>
      <c r="Q122" s="3">
        <v>5.2638888888888893</v>
      </c>
      <c r="R122" s="3">
        <f>SUM(Table2[[#This Row],[Qualified Activities Professional Hours]:[Other Activities Professional Hours]])/Table2[[#This Row],[MDS Census]]</f>
        <v>0.25779411764705884</v>
      </c>
      <c r="S122" s="3">
        <v>0</v>
      </c>
      <c r="T122" s="3">
        <v>0</v>
      </c>
      <c r="U122" s="3">
        <v>0</v>
      </c>
      <c r="V122" s="3">
        <f>SUM(Table2[[#This Row],[Occupational Therapist Hours]:[OT Aide Hours]])/Table2[[#This Row],[MDS Census]]</f>
        <v>0</v>
      </c>
      <c r="W122" s="3">
        <v>0</v>
      </c>
      <c r="X122" s="3">
        <v>0</v>
      </c>
      <c r="Y122" s="3">
        <v>0</v>
      </c>
      <c r="Z122" s="3">
        <f>SUM(Table2[[#This Row],[Physical Therapist (PT) Hours]:[PT Aide Hours]])/Table2[[#This Row],[MDS Census]]</f>
        <v>0</v>
      </c>
      <c r="AA122" s="3">
        <v>0</v>
      </c>
      <c r="AB122" s="3">
        <v>0</v>
      </c>
      <c r="AC122" s="3">
        <v>0</v>
      </c>
      <c r="AD122" s="3">
        <v>0</v>
      </c>
      <c r="AE122" s="3">
        <v>0</v>
      </c>
      <c r="AF122" s="3">
        <v>0</v>
      </c>
      <c r="AG122" s="3">
        <v>0</v>
      </c>
      <c r="AH122" s="1" t="s">
        <v>120</v>
      </c>
      <c r="AI122" s="17">
        <v>10</v>
      </c>
      <c r="AJ122" s="1"/>
    </row>
    <row r="123" spans="1:36" x14ac:dyDescent="0.2">
      <c r="A123" s="1" t="s">
        <v>128</v>
      </c>
      <c r="B123" s="1" t="s">
        <v>250</v>
      </c>
      <c r="C123" s="1" t="s">
        <v>263</v>
      </c>
      <c r="D123" s="1" t="s">
        <v>339</v>
      </c>
      <c r="E123" s="3">
        <v>34.200000000000003</v>
      </c>
      <c r="F123" s="3">
        <v>2.7555555555555555</v>
      </c>
      <c r="G123" s="3">
        <v>1.6666666666666666E-2</v>
      </c>
      <c r="H123" s="3">
        <v>0.24444444444444444</v>
      </c>
      <c r="I123" s="3">
        <v>0.18888888888888888</v>
      </c>
      <c r="J123" s="3">
        <v>0</v>
      </c>
      <c r="K123" s="3">
        <v>0</v>
      </c>
      <c r="L123" s="3">
        <v>0</v>
      </c>
      <c r="M123" s="3">
        <v>5.4222222222222225</v>
      </c>
      <c r="N123" s="3">
        <v>0</v>
      </c>
      <c r="O123" s="3">
        <f>SUM(Table2[[#This Row],[Qualified Social Work Staff Hours]:[Other Social Work Staff Hours]])/Table2[[#This Row],[MDS Census]]</f>
        <v>0.1585445094217024</v>
      </c>
      <c r="P123" s="3">
        <v>4.9571111111111108</v>
      </c>
      <c r="Q123" s="3">
        <v>0</v>
      </c>
      <c r="R123" s="3">
        <f>SUM(Table2[[#This Row],[Qualified Activities Professional Hours]:[Other Activities Professional Hours]])/Table2[[#This Row],[MDS Census]]</f>
        <v>0.14494476933073422</v>
      </c>
      <c r="S123" s="3">
        <v>1.0222222222222223E-2</v>
      </c>
      <c r="T123" s="3">
        <v>0</v>
      </c>
      <c r="U123" s="3">
        <v>0</v>
      </c>
      <c r="V123" s="3">
        <f>SUM(Table2[[#This Row],[Occupational Therapist Hours]:[OT Aide Hours]])/Table2[[#This Row],[MDS Census]]</f>
        <v>2.9889538661468485E-4</v>
      </c>
      <c r="W123" s="3">
        <v>3.666666666666667E-3</v>
      </c>
      <c r="X123" s="3">
        <v>0</v>
      </c>
      <c r="Y123" s="3">
        <v>0</v>
      </c>
      <c r="Z123" s="3">
        <f>SUM(Table2[[#This Row],[Physical Therapist (PT) Hours]:[PT Aide Hours]])/Table2[[#This Row],[MDS Census]]</f>
        <v>1.0721247563352827E-4</v>
      </c>
      <c r="AA123" s="3">
        <v>0</v>
      </c>
      <c r="AB123" s="3">
        <v>0</v>
      </c>
      <c r="AC123" s="3">
        <v>0</v>
      </c>
      <c r="AD123" s="3">
        <v>0</v>
      </c>
      <c r="AE123" s="3">
        <v>0</v>
      </c>
      <c r="AF123" s="3">
        <v>0</v>
      </c>
      <c r="AG123" s="3">
        <v>0</v>
      </c>
      <c r="AH123" s="1" t="s">
        <v>121</v>
      </c>
      <c r="AI123" s="17">
        <v>10</v>
      </c>
      <c r="AJ123" s="1"/>
    </row>
    <row r="124" spans="1:36" x14ac:dyDescent="0.2">
      <c r="A124" s="1" t="s">
        <v>128</v>
      </c>
      <c r="B124" s="1" t="s">
        <v>251</v>
      </c>
      <c r="C124" s="1" t="s">
        <v>268</v>
      </c>
      <c r="D124" s="1" t="s">
        <v>326</v>
      </c>
      <c r="E124" s="3">
        <v>11.922222222222222</v>
      </c>
      <c r="F124" s="3">
        <v>5.6888888888888891</v>
      </c>
      <c r="G124" s="3">
        <v>0</v>
      </c>
      <c r="H124" s="3">
        <v>0</v>
      </c>
      <c r="I124" s="3">
        <v>3.888888888888889E-2</v>
      </c>
      <c r="J124" s="3">
        <v>3.3333333333333333E-2</v>
      </c>
      <c r="K124" s="3">
        <v>3.3333333333333333E-2</v>
      </c>
      <c r="L124" s="3">
        <v>0</v>
      </c>
      <c r="M124" s="3">
        <v>0</v>
      </c>
      <c r="N124" s="3">
        <v>0</v>
      </c>
      <c r="O124" s="3">
        <f>SUM(Table2[[#This Row],[Qualified Social Work Staff Hours]:[Other Social Work Staff Hours]])/Table2[[#This Row],[MDS Census]]</f>
        <v>0</v>
      </c>
      <c r="P124" s="3">
        <v>4.55</v>
      </c>
      <c r="Q124" s="3">
        <v>3.6333333333333333</v>
      </c>
      <c r="R124" s="3">
        <f>SUM(Table2[[#This Row],[Qualified Activities Professional Hours]:[Other Activities Professional Hours]])/Table2[[#This Row],[MDS Census]]</f>
        <v>0.68639328984156567</v>
      </c>
      <c r="S124" s="3">
        <v>0</v>
      </c>
      <c r="T124" s="3">
        <v>0</v>
      </c>
      <c r="U124" s="3">
        <v>0</v>
      </c>
      <c r="V124" s="3">
        <f>SUM(Table2[[#This Row],[Occupational Therapist Hours]:[OT Aide Hours]])/Table2[[#This Row],[MDS Census]]</f>
        <v>0</v>
      </c>
      <c r="W124" s="3">
        <v>0.1411111111111111</v>
      </c>
      <c r="X124" s="3">
        <v>0</v>
      </c>
      <c r="Y124" s="3">
        <v>4.0166666666666666</v>
      </c>
      <c r="Z124" s="3">
        <f>SUM(Table2[[#This Row],[Physical Therapist (PT) Hours]:[PT Aide Hours]])/Table2[[#This Row],[MDS Census]]</f>
        <v>0.34874184529356939</v>
      </c>
      <c r="AA124" s="3">
        <v>0</v>
      </c>
      <c r="AB124" s="3">
        <v>0</v>
      </c>
      <c r="AC124" s="3">
        <v>0</v>
      </c>
      <c r="AD124" s="3">
        <v>0</v>
      </c>
      <c r="AE124" s="3">
        <v>0</v>
      </c>
      <c r="AF124" s="3">
        <v>0</v>
      </c>
      <c r="AG124" s="3">
        <v>0.1</v>
      </c>
      <c r="AH124" s="1" t="s">
        <v>122</v>
      </c>
      <c r="AI124" s="17">
        <v>10</v>
      </c>
      <c r="AJ124" s="1"/>
    </row>
    <row r="125" spans="1:36" x14ac:dyDescent="0.2">
      <c r="A125" s="1" t="s">
        <v>128</v>
      </c>
      <c r="B125" s="1" t="s">
        <v>252</v>
      </c>
      <c r="C125" s="1" t="s">
        <v>259</v>
      </c>
      <c r="D125" s="1" t="s">
        <v>322</v>
      </c>
      <c r="E125" s="3">
        <v>66.13333333333334</v>
      </c>
      <c r="F125" s="3">
        <v>0</v>
      </c>
      <c r="G125" s="3">
        <v>0.44444444444444442</v>
      </c>
      <c r="H125" s="3">
        <v>0.1111111111111111</v>
      </c>
      <c r="I125" s="3">
        <v>0.72222222222222221</v>
      </c>
      <c r="J125" s="3">
        <v>0</v>
      </c>
      <c r="K125" s="3">
        <v>0</v>
      </c>
      <c r="L125" s="3">
        <v>0</v>
      </c>
      <c r="M125" s="3">
        <v>4.9194444444444443</v>
      </c>
      <c r="N125" s="3">
        <v>0</v>
      </c>
      <c r="O125" s="3">
        <f>SUM(Table2[[#This Row],[Qualified Social Work Staff Hours]:[Other Social Work Staff Hours]])/Table2[[#This Row],[MDS Census]]</f>
        <v>7.4386760752688158E-2</v>
      </c>
      <c r="P125" s="3">
        <v>5.4666666666666668</v>
      </c>
      <c r="Q125" s="3">
        <v>16.713888888888889</v>
      </c>
      <c r="R125" s="3">
        <f>SUM(Table2[[#This Row],[Qualified Activities Professional Hours]:[Other Activities Professional Hours]])/Table2[[#This Row],[MDS Census]]</f>
        <v>0.33539146505376344</v>
      </c>
      <c r="S125" s="3">
        <v>0</v>
      </c>
      <c r="T125" s="3">
        <v>0</v>
      </c>
      <c r="U125" s="3">
        <v>0</v>
      </c>
      <c r="V125" s="3">
        <f>SUM(Table2[[#This Row],[Occupational Therapist Hours]:[OT Aide Hours]])/Table2[[#This Row],[MDS Census]]</f>
        <v>0</v>
      </c>
      <c r="W125" s="3">
        <v>0</v>
      </c>
      <c r="X125" s="3">
        <v>0</v>
      </c>
      <c r="Y125" s="3">
        <v>0</v>
      </c>
      <c r="Z125" s="3">
        <f>SUM(Table2[[#This Row],[Physical Therapist (PT) Hours]:[PT Aide Hours]])/Table2[[#This Row],[MDS Census]]</f>
        <v>0</v>
      </c>
      <c r="AA125" s="3">
        <v>0</v>
      </c>
      <c r="AB125" s="3">
        <v>0</v>
      </c>
      <c r="AC125" s="3">
        <v>0</v>
      </c>
      <c r="AD125" s="3">
        <v>0</v>
      </c>
      <c r="AE125" s="3">
        <v>0</v>
      </c>
      <c r="AF125" s="3">
        <v>0</v>
      </c>
      <c r="AG125" s="3">
        <v>0</v>
      </c>
      <c r="AH125" s="1" t="s">
        <v>123</v>
      </c>
      <c r="AI125" s="17">
        <v>10</v>
      </c>
      <c r="AJ125" s="1"/>
    </row>
    <row r="126" spans="1:36" x14ac:dyDescent="0.2">
      <c r="A126" s="1" t="s">
        <v>128</v>
      </c>
      <c r="B126" s="1" t="s">
        <v>253</v>
      </c>
      <c r="C126" s="1" t="s">
        <v>263</v>
      </c>
      <c r="D126" s="1" t="s">
        <v>334</v>
      </c>
      <c r="E126" s="3">
        <v>19.511111111111113</v>
      </c>
      <c r="F126" s="3">
        <v>5.6888888888888891</v>
      </c>
      <c r="G126" s="3">
        <v>1.0666666666666667</v>
      </c>
      <c r="H126" s="3">
        <v>0</v>
      </c>
      <c r="I126" s="3">
        <v>0</v>
      </c>
      <c r="J126" s="3">
        <v>0</v>
      </c>
      <c r="K126" s="3">
        <v>0</v>
      </c>
      <c r="L126" s="3">
        <v>0</v>
      </c>
      <c r="M126" s="3">
        <v>0</v>
      </c>
      <c r="N126" s="3">
        <v>5.8699999999999983</v>
      </c>
      <c r="O126" s="3">
        <f>SUM(Table2[[#This Row],[Qualified Social Work Staff Hours]:[Other Social Work Staff Hours]])/Table2[[#This Row],[MDS Census]]</f>
        <v>0.30085421412300672</v>
      </c>
      <c r="P126" s="3">
        <v>0</v>
      </c>
      <c r="Q126" s="3">
        <v>0</v>
      </c>
      <c r="R126" s="3">
        <f>SUM(Table2[[#This Row],[Qualified Activities Professional Hours]:[Other Activities Professional Hours]])/Table2[[#This Row],[MDS Census]]</f>
        <v>0</v>
      </c>
      <c r="S126" s="3">
        <v>0</v>
      </c>
      <c r="T126" s="3">
        <v>0</v>
      </c>
      <c r="U126" s="3">
        <v>0</v>
      </c>
      <c r="V126" s="3">
        <f>SUM(Table2[[#This Row],[Occupational Therapist Hours]:[OT Aide Hours]])/Table2[[#This Row],[MDS Census]]</f>
        <v>0</v>
      </c>
      <c r="W126" s="3">
        <v>0</v>
      </c>
      <c r="X126" s="3">
        <v>0</v>
      </c>
      <c r="Y126" s="3">
        <v>0</v>
      </c>
      <c r="Z126" s="3">
        <f>SUM(Table2[[#This Row],[Physical Therapist (PT) Hours]:[PT Aide Hours]])/Table2[[#This Row],[MDS Census]]</f>
        <v>0</v>
      </c>
      <c r="AA126" s="3">
        <v>0</v>
      </c>
      <c r="AB126" s="3">
        <v>0</v>
      </c>
      <c r="AC126" s="3">
        <v>0</v>
      </c>
      <c r="AD126" s="3">
        <v>0</v>
      </c>
      <c r="AE126" s="3">
        <v>0</v>
      </c>
      <c r="AF126" s="3">
        <v>0</v>
      </c>
      <c r="AG126" s="3">
        <v>0</v>
      </c>
      <c r="AH126" s="1" t="s">
        <v>124</v>
      </c>
      <c r="AI126" s="17">
        <v>10</v>
      </c>
      <c r="AJ126" s="1"/>
    </row>
    <row r="127" spans="1:36" x14ac:dyDescent="0.2">
      <c r="A127" s="1" t="s">
        <v>128</v>
      </c>
      <c r="B127" s="1" t="s">
        <v>254</v>
      </c>
      <c r="C127" s="1" t="s">
        <v>263</v>
      </c>
      <c r="D127" s="1" t="s">
        <v>334</v>
      </c>
      <c r="E127" s="3">
        <v>39.81111111111111</v>
      </c>
      <c r="F127" s="3">
        <v>5.6</v>
      </c>
      <c r="G127" s="3">
        <v>3.3333333333333333E-2</v>
      </c>
      <c r="H127" s="3">
        <v>0.26666666666666666</v>
      </c>
      <c r="I127" s="3">
        <v>0.26666666666666666</v>
      </c>
      <c r="J127" s="3">
        <v>0</v>
      </c>
      <c r="K127" s="3">
        <v>0</v>
      </c>
      <c r="L127" s="3">
        <v>0</v>
      </c>
      <c r="M127" s="3">
        <v>1.211111111111111</v>
      </c>
      <c r="N127" s="3">
        <v>0</v>
      </c>
      <c r="O127" s="3">
        <f>SUM(Table2[[#This Row],[Qualified Social Work Staff Hours]:[Other Social Work Staff Hours]])/Table2[[#This Row],[MDS Census]]</f>
        <v>3.0421434552051353E-2</v>
      </c>
      <c r="P127" s="3">
        <v>5.7138888888888886</v>
      </c>
      <c r="Q127" s="3">
        <v>0</v>
      </c>
      <c r="R127" s="3">
        <f>SUM(Table2[[#This Row],[Qualified Activities Professional Hours]:[Other Activities Professional Hours]])/Table2[[#This Row],[MDS Census]]</f>
        <v>0.14352497906782025</v>
      </c>
      <c r="S127" s="3">
        <v>0</v>
      </c>
      <c r="T127" s="3">
        <v>0</v>
      </c>
      <c r="U127" s="3">
        <v>0</v>
      </c>
      <c r="V127" s="3">
        <f>SUM(Table2[[#This Row],[Occupational Therapist Hours]:[OT Aide Hours]])/Table2[[#This Row],[MDS Census]]</f>
        <v>0</v>
      </c>
      <c r="W127" s="3">
        <v>0</v>
      </c>
      <c r="X127" s="3">
        <v>0</v>
      </c>
      <c r="Y127" s="3">
        <v>0</v>
      </c>
      <c r="Z127" s="3">
        <f>SUM(Table2[[#This Row],[Physical Therapist (PT) Hours]:[PT Aide Hours]])/Table2[[#This Row],[MDS Census]]</f>
        <v>0</v>
      </c>
      <c r="AA127" s="3">
        <v>0</v>
      </c>
      <c r="AB127" s="3">
        <v>0</v>
      </c>
      <c r="AC127" s="3">
        <v>0</v>
      </c>
      <c r="AD127" s="3">
        <v>0</v>
      </c>
      <c r="AE127" s="3">
        <v>0</v>
      </c>
      <c r="AF127" s="3">
        <v>0</v>
      </c>
      <c r="AG127" s="3">
        <v>0</v>
      </c>
      <c r="AH127" s="1" t="s">
        <v>125</v>
      </c>
      <c r="AI127" s="17">
        <v>10</v>
      </c>
      <c r="AJ127" s="1"/>
    </row>
    <row r="128" spans="1:36" x14ac:dyDescent="0.2">
      <c r="A128" s="1" t="s">
        <v>128</v>
      </c>
      <c r="B128" s="1" t="s">
        <v>255</v>
      </c>
      <c r="C128" s="1" t="s">
        <v>318</v>
      </c>
      <c r="D128" s="1" t="s">
        <v>334</v>
      </c>
      <c r="E128" s="3">
        <v>58.31111111111111</v>
      </c>
      <c r="F128" s="3">
        <v>13.277777777777779</v>
      </c>
      <c r="G128" s="3">
        <v>0.19444444444444445</v>
      </c>
      <c r="H128" s="3">
        <v>0.27777777777777779</v>
      </c>
      <c r="I128" s="3">
        <v>0</v>
      </c>
      <c r="J128" s="3">
        <v>0</v>
      </c>
      <c r="K128" s="3">
        <v>1.5222222222222221</v>
      </c>
      <c r="L128" s="3">
        <v>0.64988888888888896</v>
      </c>
      <c r="M128" s="3">
        <v>0</v>
      </c>
      <c r="N128" s="3">
        <v>2.2102222222222228</v>
      </c>
      <c r="O128" s="3">
        <f>SUM(Table2[[#This Row],[Qualified Social Work Staff Hours]:[Other Social Work Staff Hours]])/Table2[[#This Row],[MDS Census]]</f>
        <v>3.7903963414634159E-2</v>
      </c>
      <c r="P128" s="3">
        <v>10.094888888888887</v>
      </c>
      <c r="Q128" s="3">
        <v>0</v>
      </c>
      <c r="R128" s="3">
        <f>SUM(Table2[[#This Row],[Qualified Activities Professional Hours]:[Other Activities Professional Hours]])/Table2[[#This Row],[MDS Census]]</f>
        <v>0.17312118902439022</v>
      </c>
      <c r="S128" s="3">
        <v>0.7981111111111111</v>
      </c>
      <c r="T128" s="3">
        <v>2.7862222222222215</v>
      </c>
      <c r="U128" s="3">
        <v>0</v>
      </c>
      <c r="V128" s="3">
        <f>SUM(Table2[[#This Row],[Occupational Therapist Hours]:[OT Aide Hours]])/Table2[[#This Row],[MDS Census]]</f>
        <v>6.1469131097560963E-2</v>
      </c>
      <c r="W128" s="3">
        <v>3.4673333333333329</v>
      </c>
      <c r="X128" s="3">
        <v>9.1444444444444425E-2</v>
      </c>
      <c r="Y128" s="3">
        <v>0</v>
      </c>
      <c r="Z128" s="3">
        <f>SUM(Table2[[#This Row],[Physical Therapist (PT) Hours]:[PT Aide Hours]])/Table2[[#This Row],[MDS Census]]</f>
        <v>6.1030868902439021E-2</v>
      </c>
      <c r="AA128" s="3">
        <v>0</v>
      </c>
      <c r="AB128" s="3">
        <v>0</v>
      </c>
      <c r="AC128" s="3">
        <v>0</v>
      </c>
      <c r="AD128" s="3">
        <v>0</v>
      </c>
      <c r="AE128" s="3">
        <v>0</v>
      </c>
      <c r="AF128" s="3">
        <v>0</v>
      </c>
      <c r="AG128" s="3">
        <v>5.5555555555555552E-2</v>
      </c>
      <c r="AH128" s="1" t="s">
        <v>126</v>
      </c>
      <c r="AI128" s="17">
        <v>10</v>
      </c>
      <c r="AJ128" s="1"/>
    </row>
    <row r="129" spans="1:36" x14ac:dyDescent="0.2">
      <c r="A129" s="1" t="s">
        <v>128</v>
      </c>
      <c r="B129" s="1" t="s">
        <v>256</v>
      </c>
      <c r="C129" s="1" t="s">
        <v>263</v>
      </c>
      <c r="D129" s="1" t="s">
        <v>334</v>
      </c>
      <c r="E129" s="3">
        <v>59.744444444444447</v>
      </c>
      <c r="F129" s="3">
        <v>0</v>
      </c>
      <c r="G129" s="3">
        <v>0</v>
      </c>
      <c r="H129" s="3">
        <v>0</v>
      </c>
      <c r="I129" s="3">
        <v>0</v>
      </c>
      <c r="J129" s="3">
        <v>0</v>
      </c>
      <c r="K129" s="3">
        <v>0</v>
      </c>
      <c r="L129" s="3">
        <v>0</v>
      </c>
      <c r="M129" s="3">
        <v>0</v>
      </c>
      <c r="N129" s="3">
        <v>9.9499999999999993</v>
      </c>
      <c r="O129" s="3">
        <f>SUM(Table2[[#This Row],[Qualified Social Work Staff Hours]:[Other Social Work Staff Hours]])/Table2[[#This Row],[MDS Census]]</f>
        <v>0.16654268179282125</v>
      </c>
      <c r="P129" s="3">
        <v>5.6</v>
      </c>
      <c r="Q129" s="3">
        <v>19.538888888888888</v>
      </c>
      <c r="R129" s="3">
        <f>SUM(Table2[[#This Row],[Qualified Activities Professional Hours]:[Other Activities Professional Hours]])/Table2[[#This Row],[MDS Census]]</f>
        <v>0.42077366561279517</v>
      </c>
      <c r="S129" s="3">
        <v>0</v>
      </c>
      <c r="T129" s="3">
        <v>0</v>
      </c>
      <c r="U129" s="3">
        <v>0</v>
      </c>
      <c r="V129" s="3">
        <f>SUM(Table2[[#This Row],[Occupational Therapist Hours]:[OT Aide Hours]])/Table2[[#This Row],[MDS Census]]</f>
        <v>0</v>
      </c>
      <c r="W129" s="3">
        <v>0</v>
      </c>
      <c r="X129" s="3">
        <v>0</v>
      </c>
      <c r="Y129" s="3">
        <v>0</v>
      </c>
      <c r="Z129" s="3">
        <f>SUM(Table2[[#This Row],[Physical Therapist (PT) Hours]:[PT Aide Hours]])/Table2[[#This Row],[MDS Census]]</f>
        <v>0</v>
      </c>
      <c r="AA129" s="3">
        <v>0</v>
      </c>
      <c r="AB129" s="3">
        <v>0</v>
      </c>
      <c r="AC129" s="3">
        <v>0</v>
      </c>
      <c r="AD129" s="3">
        <v>0</v>
      </c>
      <c r="AE129" s="3">
        <v>0</v>
      </c>
      <c r="AF129" s="3">
        <v>0</v>
      </c>
      <c r="AG129" s="3">
        <v>0</v>
      </c>
      <c r="AH129" s="1" t="s">
        <v>127</v>
      </c>
      <c r="AI129" s="17">
        <v>10</v>
      </c>
      <c r="AJ129" s="1"/>
    </row>
  </sheetData>
  <pageMargins left="0.7" right="0.7" top="0.75" bottom="0.75" header="0.3" footer="0.3"/>
  <pageSetup orientation="portrait" horizontalDpi="1200" verticalDpi="1200" r:id="rId1"/>
  <ignoredErrors>
    <ignoredError sqref="AH2:AH129"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EFC60-0369-48E5-840E-3ECE87C06A99}">
  <dimension ref="B2:O53"/>
  <sheetViews>
    <sheetView zoomScale="80" zoomScaleNormal="80" workbookViewId="0">
      <pane ySplit="2" topLeftCell="A3" activePane="bottomLeft" state="frozen"/>
      <selection activeCell="D1" sqref="D1"/>
      <selection pane="bottomLeft" activeCell="C5" sqref="C5"/>
    </sheetView>
  </sheetViews>
  <sheetFormatPr baseColWidth="10" defaultColWidth="8.83203125" defaultRowHeight="16" x14ac:dyDescent="0.2"/>
  <cols>
    <col min="1" max="1" width="3" style="2" customWidth="1"/>
    <col min="2" max="2" width="21.83203125" style="2" customWidth="1"/>
    <col min="3" max="3" width="11.5" style="2" customWidth="1"/>
    <col min="4" max="4" width="4.6640625" style="2" customWidth="1"/>
    <col min="5" max="5" width="5.33203125" style="2" customWidth="1"/>
    <col min="6" max="6" width="40.5" style="2" customWidth="1"/>
    <col min="7" max="7" width="12.6640625" style="2" customWidth="1"/>
    <col min="8" max="8" width="12.5" style="2" customWidth="1"/>
    <col min="9" max="18" width="8.83203125" style="2"/>
    <col min="19" max="19" width="22.83203125" style="2" customWidth="1"/>
    <col min="20" max="20" width="16.33203125" style="2" customWidth="1"/>
    <col min="21" max="21" width="13.6640625" style="2" customWidth="1"/>
    <col min="22" max="16384" width="8.83203125" style="2"/>
  </cols>
  <sheetData>
    <row r="2" spans="2:15" ht="53" customHeight="1" x14ac:dyDescent="0.2">
      <c r="B2" s="15" t="s">
        <v>348</v>
      </c>
      <c r="C2" s="15" t="s">
        <v>428</v>
      </c>
      <c r="D2" s="16"/>
      <c r="F2" s="2" t="s">
        <v>448</v>
      </c>
      <c r="G2" s="2" t="s">
        <v>463</v>
      </c>
      <c r="H2" s="25" t="s">
        <v>461</v>
      </c>
      <c r="I2" s="25" t="s">
        <v>364</v>
      </c>
    </row>
    <row r="3" spans="2:15" ht="15" customHeight="1" x14ac:dyDescent="0.2">
      <c r="B3" s="8" t="s">
        <v>435</v>
      </c>
      <c r="C3" s="7">
        <f>AVERAGE(Nurse!E:E)</f>
        <v>49.796614583333337</v>
      </c>
      <c r="D3" s="7"/>
      <c r="F3" s="28" t="s">
        <v>441</v>
      </c>
      <c r="G3" s="21">
        <f>SUM(Table3[Total Hours Nurse Staffing])</f>
        <v>31547.473000000002</v>
      </c>
      <c r="H3" s="24" t="s">
        <v>434</v>
      </c>
      <c r="I3" s="22">
        <f>Table30[[#This Row],[State Total]]/C7</f>
        <v>4.9494254755019114</v>
      </c>
    </row>
    <row r="4" spans="2:15" ht="15" customHeight="1" x14ac:dyDescent="0.2">
      <c r="B4" s="9" t="s">
        <v>375</v>
      </c>
      <c r="C4" s="7">
        <f>SUM(Nurse!J:J)/SUM(Nurse!E:E)</f>
        <v>4.9494254755019114</v>
      </c>
      <c r="D4" s="7"/>
      <c r="F4" s="12" t="s">
        <v>468</v>
      </c>
      <c r="G4" s="21">
        <f>SUM(Table3[Total Direct Care Staff Hours])</f>
        <v>29107.499666666663</v>
      </c>
      <c r="H4" s="24">
        <f>Table30[[#This Row],[State Total]]/G3</f>
        <v>0.92265709100271398</v>
      </c>
      <c r="I4" s="22">
        <f>Table30[[#This Row],[State Total]]/C7</f>
        <v>4.5666225113613175</v>
      </c>
    </row>
    <row r="5" spans="2:15" ht="15" customHeight="1" thickBot="1" x14ac:dyDescent="0.25">
      <c r="B5" s="10" t="s">
        <v>423</v>
      </c>
      <c r="C5" s="11">
        <f>SUM(Nurse!L:L)/SUM(Nurse!E:E)</f>
        <v>0.81877946229192711</v>
      </c>
      <c r="D5" s="14"/>
      <c r="F5" s="28" t="s">
        <v>426</v>
      </c>
      <c r="G5" s="21">
        <f>SUM(Table3[Total RN Hours (w/ Admin, DON)])</f>
        <v>5218.8730000000005</v>
      </c>
      <c r="H5" s="24">
        <f>Table30[[#This Row],[State Total]]/G3</f>
        <v>0.16542919301333581</v>
      </c>
      <c r="I5" s="22">
        <f>Table30[[#This Row],[State Total]]/C7</f>
        <v>0.81877946229192711</v>
      </c>
      <c r="J5" s="20"/>
      <c r="K5" s="20"/>
      <c r="L5" s="20"/>
      <c r="M5" s="20"/>
      <c r="N5" s="20"/>
      <c r="O5" s="20"/>
    </row>
    <row r="6" spans="2:15" ht="15" customHeight="1" x14ac:dyDescent="0.2">
      <c r="B6" s="18" t="s">
        <v>429</v>
      </c>
      <c r="C6" s="19">
        <f>COUNTA(Nurse!A:A)-1</f>
        <v>128</v>
      </c>
      <c r="D6" s="1"/>
      <c r="F6" s="27" t="s">
        <v>442</v>
      </c>
      <c r="G6" s="21">
        <f>SUM(Table3[RN Hours (excl. Admin, DON)])</f>
        <v>3325.6605555555552</v>
      </c>
      <c r="H6" s="24">
        <f>Table30[[#This Row],[State Total]]/G3</f>
        <v>0.10541765280393631</v>
      </c>
      <c r="I6" s="22">
        <f>Table30[[#This Row],[State Total]]/C7</f>
        <v>0.52175681635541782</v>
      </c>
      <c r="J6" s="20"/>
      <c r="K6" s="20"/>
      <c r="L6" s="20"/>
      <c r="M6" s="20"/>
      <c r="N6" s="20"/>
      <c r="O6" s="20"/>
    </row>
    <row r="7" spans="2:15" ht="15" customHeight="1" x14ac:dyDescent="0.2">
      <c r="B7" s="18" t="s">
        <v>430</v>
      </c>
      <c r="C7" s="19">
        <f>SUM(Nurse!E:E)</f>
        <v>6373.9666666666672</v>
      </c>
      <c r="D7" s="1"/>
      <c r="F7" s="27" t="s">
        <v>443</v>
      </c>
      <c r="G7" s="21">
        <f>SUM(Table3[RN Admin Hours])</f>
        <v>1263.4508888888888</v>
      </c>
      <c r="H7" s="24">
        <f>Table30[[#This Row],[State Total]]/G3</f>
        <v>4.0049194713278266E-2</v>
      </c>
      <c r="I7" s="22">
        <f>Table30[[#This Row],[State Total]]/C7</f>
        <v>0.19822050458723589</v>
      </c>
      <c r="J7" s="20"/>
      <c r="K7" s="20"/>
      <c r="L7" s="20"/>
      <c r="M7" s="20"/>
      <c r="N7" s="20"/>
      <c r="O7" s="20"/>
    </row>
    <row r="8" spans="2:15" ht="15" customHeight="1" x14ac:dyDescent="0.2">
      <c r="F8" s="27" t="s">
        <v>444</v>
      </c>
      <c r="G8" s="21">
        <f>SUM(Table3[RN DON Hours])</f>
        <v>629.7615555555559</v>
      </c>
      <c r="H8" s="24">
        <f>Table30[[#This Row],[State Total]]/G3</f>
        <v>1.9962345496121223E-2</v>
      </c>
      <c r="I8" s="22">
        <f>Table30[[#This Row],[State Total]]/C7</f>
        <v>9.8802141349273218E-2</v>
      </c>
      <c r="J8" s="20"/>
      <c r="K8" s="20"/>
      <c r="L8" s="20"/>
      <c r="M8" s="20"/>
      <c r="N8" s="20"/>
      <c r="O8" s="20"/>
    </row>
    <row r="9" spans="2:15" ht="15" customHeight="1" x14ac:dyDescent="0.2">
      <c r="F9" s="12" t="s">
        <v>445</v>
      </c>
      <c r="G9" s="21">
        <f>SUM(Table3[Total LPN Hours (w/ Admin)])</f>
        <v>6004.9800000000005</v>
      </c>
      <c r="H9" s="24">
        <f>Table30[[#This Row],[State Total]]/G3</f>
        <v>0.19034741704985372</v>
      </c>
      <c r="I9" s="22">
        <f>Table30[[#This Row],[State Total]]/C7</f>
        <v>0.94211035514253294</v>
      </c>
      <c r="J9" s="20"/>
      <c r="K9" s="20"/>
      <c r="L9" s="20"/>
      <c r="M9" s="20"/>
      <c r="N9" s="20"/>
      <c r="O9" s="20"/>
    </row>
    <row r="10" spans="2:15" ht="15" customHeight="1" x14ac:dyDescent="0.2">
      <c r="F10" s="27" t="s">
        <v>449</v>
      </c>
      <c r="G10" s="21">
        <f>SUM(Table3[LPN Hours (excl. Admin)])</f>
        <v>5458.2191111111124</v>
      </c>
      <c r="H10" s="24">
        <f>Table30[[#This Row],[State Total]]/G3</f>
        <v>0.17301604826196734</v>
      </c>
      <c r="I10" s="22">
        <f>Table30[[#This Row],[State Total]]/C7</f>
        <v>0.85633003693844945</v>
      </c>
      <c r="J10" s="20"/>
      <c r="K10" s="20"/>
      <c r="L10" s="20"/>
      <c r="M10" s="20"/>
      <c r="N10" s="20"/>
      <c r="O10" s="20"/>
    </row>
    <row r="11" spans="2:15" ht="15" customHeight="1" x14ac:dyDescent="0.2">
      <c r="F11" s="27" t="s">
        <v>446</v>
      </c>
      <c r="G11" s="21">
        <f>SUM(Table3[LPN Admin Hours])</f>
        <v>546.76088888888876</v>
      </c>
      <c r="H11" s="24">
        <f>Table30[[#This Row],[State Total]]/G3</f>
        <v>1.7331368787886395E-2</v>
      </c>
      <c r="I11" s="22">
        <f>Table30[[#This Row],[State Total]]/C7</f>
        <v>8.5780318204083592E-2</v>
      </c>
      <c r="J11" s="20"/>
      <c r="K11" s="20"/>
      <c r="L11" s="20"/>
      <c r="M11" s="20"/>
      <c r="N11" s="20"/>
      <c r="O11" s="20"/>
    </row>
    <row r="12" spans="2:15" ht="15" customHeight="1" x14ac:dyDescent="0.2">
      <c r="F12" s="12" t="s">
        <v>450</v>
      </c>
      <c r="G12" s="21">
        <f>SUM(Table3[Total CNA, NA TR, Med Aide/Tech Hours])</f>
        <v>20323.620000000003</v>
      </c>
      <c r="H12" s="24">
        <f>Table30[[#This Row],[State Total]]/G3</f>
        <v>0.6442233899368105</v>
      </c>
      <c r="I12" s="22">
        <f>Table30[[#This Row],[State Total]]/C7</f>
        <v>3.1885356580674515</v>
      </c>
      <c r="J12" s="20"/>
      <c r="K12" s="20"/>
      <c r="L12" s="20"/>
      <c r="M12" s="20"/>
      <c r="N12" s="20"/>
      <c r="O12" s="20"/>
    </row>
    <row r="13" spans="2:15" ht="15" customHeight="1" x14ac:dyDescent="0.2">
      <c r="F13" s="27" t="s">
        <v>363</v>
      </c>
      <c r="G13" s="21">
        <f>SUM(Table3[CNA Hours])</f>
        <v>17496.101777777778</v>
      </c>
      <c r="H13" s="24">
        <f>Table30[[#This Row],[State Total]]/G3</f>
        <v>0.55459598230824314</v>
      </c>
      <c r="I13" s="22">
        <f>Table30[[#This Row],[State Total]]/C7</f>
        <v>2.7449314834474259</v>
      </c>
      <c r="J13" s="20"/>
      <c r="K13" s="20"/>
      <c r="L13" s="20"/>
      <c r="M13" s="20"/>
      <c r="N13" s="20"/>
      <c r="O13" s="20"/>
    </row>
    <row r="14" spans="2:15" ht="15" customHeight="1" x14ac:dyDescent="0.2">
      <c r="F14" s="27" t="s">
        <v>431</v>
      </c>
      <c r="G14" s="21">
        <f>SUM(Table3[NA TR Hours])</f>
        <v>985.72300000000018</v>
      </c>
      <c r="H14" s="24">
        <f>Table30[[#This Row],[State Total]]/G3</f>
        <v>3.1245703895205812E-2</v>
      </c>
      <c r="I14" s="22">
        <f>Table30[[#This Row],[State Total]]/C7</f>
        <v>0.15464828285892093</v>
      </c>
    </row>
    <row r="15" spans="2:15" ht="15" customHeight="1" x14ac:dyDescent="0.2">
      <c r="F15" s="29" t="s">
        <v>422</v>
      </c>
      <c r="G15" s="23">
        <f>SUM(Table3[Med Aide/Tech Hours])</f>
        <v>1841.7952222222225</v>
      </c>
      <c r="H15" s="24">
        <f>Table30[[#This Row],[State Total]]/G3</f>
        <v>5.8381703733361538E-2</v>
      </c>
      <c r="I15" s="22">
        <f>Table30[[#This Row],[State Total]]/C7</f>
        <v>0.28895589176110464</v>
      </c>
    </row>
    <row r="16" spans="2:15" ht="15" customHeight="1" x14ac:dyDescent="0.2"/>
    <row r="17" spans="6:7" ht="15" customHeight="1" x14ac:dyDescent="0.2"/>
    <row r="18" spans="6:7" ht="15" customHeight="1" x14ac:dyDescent="0.2">
      <c r="F18" s="2" t="s">
        <v>459</v>
      </c>
      <c r="G18" s="2" t="s">
        <v>463</v>
      </c>
    </row>
    <row r="19" spans="6:7" ht="15" customHeight="1" x14ac:dyDescent="0.2">
      <c r="F19" s="2" t="s">
        <v>451</v>
      </c>
      <c r="G19" s="12">
        <f>SUM(Table3[RN Hours Contract])</f>
        <v>145.58588888888886</v>
      </c>
    </row>
    <row r="20" spans="6:7" ht="15" customHeight="1" x14ac:dyDescent="0.2">
      <c r="F20" s="2" t="s">
        <v>452</v>
      </c>
      <c r="G20" s="12">
        <f>SUM(Table3[RN Admin Hours Contract])</f>
        <v>5.8849999999999998</v>
      </c>
    </row>
    <row r="21" spans="6:7" ht="15" customHeight="1" x14ac:dyDescent="0.2">
      <c r="F21" s="2" t="s">
        <v>453</v>
      </c>
      <c r="G21" s="12">
        <f>SUM(Table3[RN DON Hours Contract])</f>
        <v>6.600888888888889</v>
      </c>
    </row>
    <row r="22" spans="6:7" ht="15" customHeight="1" x14ac:dyDescent="0.2">
      <c r="F22" s="2" t="s">
        <v>454</v>
      </c>
      <c r="G22" s="12">
        <f>SUM(Table3[LPN Hours Contract])</f>
        <v>412.46622222222214</v>
      </c>
    </row>
    <row r="23" spans="6:7" ht="15" customHeight="1" x14ac:dyDescent="0.2">
      <c r="F23" s="2" t="s">
        <v>455</v>
      </c>
      <c r="G23" s="12">
        <f>SUM(Table3[LPN Admin Hours Contract])</f>
        <v>0.48888888888888893</v>
      </c>
    </row>
    <row r="24" spans="6:7" ht="15" customHeight="1" x14ac:dyDescent="0.2">
      <c r="F24" s="2" t="s">
        <v>456</v>
      </c>
      <c r="G24" s="12">
        <f>SUM(Table3[CNA Hours Contract])</f>
        <v>1568.4832222222226</v>
      </c>
    </row>
    <row r="25" spans="6:7" ht="15" customHeight="1" x14ac:dyDescent="0.2">
      <c r="F25" s="2" t="s">
        <v>457</v>
      </c>
      <c r="G25" s="12">
        <f>SUM(Table3[NA TR Hours Contract])</f>
        <v>0.16999999999999998</v>
      </c>
    </row>
    <row r="26" spans="6:7" ht="15" customHeight="1" x14ac:dyDescent="0.2">
      <c r="F26" s="2" t="s">
        <v>458</v>
      </c>
      <c r="G26" s="12">
        <f>SUM(Table3[Med Aide Hours Contract])</f>
        <v>55.547666666666665</v>
      </c>
    </row>
    <row r="27" spans="6:7" ht="15" customHeight="1" x14ac:dyDescent="0.2">
      <c r="F27" s="2" t="s">
        <v>447</v>
      </c>
      <c r="G27" s="12">
        <f>SUM(G19:G26)</f>
        <v>2195.2277777777786</v>
      </c>
    </row>
    <row r="28" spans="6:7" ht="15" customHeight="1" x14ac:dyDescent="0.2">
      <c r="F28" s="2" t="s">
        <v>462</v>
      </c>
      <c r="G28" s="26">
        <f>G27/G3</f>
        <v>6.9584900755055037E-2</v>
      </c>
    </row>
    <row r="29" spans="6:7" ht="15" customHeight="1" x14ac:dyDescent="0.2"/>
    <row r="30" spans="6:7" ht="15" customHeight="1" x14ac:dyDescent="0.2">
      <c r="G30" s="12"/>
    </row>
    <row r="31" spans="6:7" ht="15" customHeight="1" x14ac:dyDescent="0.2"/>
    <row r="32" spans="6:7" ht="15" customHeight="1" x14ac:dyDescent="0.2">
      <c r="F32" s="2" t="s">
        <v>448</v>
      </c>
      <c r="G32" s="25" t="s">
        <v>364</v>
      </c>
    </row>
    <row r="33" spans="6:7" ht="15" customHeight="1" x14ac:dyDescent="0.2">
      <c r="F33" s="28" t="s">
        <v>427</v>
      </c>
      <c r="G33" s="22">
        <f>I3</f>
        <v>4.9494254755019114</v>
      </c>
    </row>
    <row r="34" spans="6:7" ht="15" customHeight="1" x14ac:dyDescent="0.2">
      <c r="F34" s="12" t="s">
        <v>460</v>
      </c>
      <c r="G34" s="22">
        <f>I5</f>
        <v>0.81877946229192711</v>
      </c>
    </row>
    <row r="35" spans="6:7" ht="15" customHeight="1" x14ac:dyDescent="0.2">
      <c r="F35" s="12" t="s">
        <v>365</v>
      </c>
      <c r="G35" s="22">
        <f>I9</f>
        <v>0.94211035514253294</v>
      </c>
    </row>
    <row r="36" spans="6:7" ht="15" customHeight="1" x14ac:dyDescent="0.2">
      <c r="F36" s="12" t="s">
        <v>464</v>
      </c>
      <c r="G36" s="22">
        <f>I12</f>
        <v>3.1885356580674515</v>
      </c>
    </row>
    <row r="37" spans="6:7" ht="15" customHeight="1" x14ac:dyDescent="0.2"/>
    <row r="38" spans="6:7" ht="15" customHeight="1" x14ac:dyDescent="0.2"/>
    <row r="39" spans="6:7" ht="15" customHeight="1" x14ac:dyDescent="0.2"/>
    <row r="40" spans="6:7" ht="15" customHeight="1" x14ac:dyDescent="0.2"/>
    <row r="41" spans="6:7" ht="15" customHeight="1" x14ac:dyDescent="0.2"/>
    <row r="42" spans="6:7" ht="15" customHeight="1" x14ac:dyDescent="0.2"/>
    <row r="43" spans="6:7" ht="15" customHeight="1" x14ac:dyDescent="0.2"/>
    <row r="44" spans="6:7" ht="15" customHeight="1" x14ac:dyDescent="0.2"/>
    <row r="45" spans="6:7" ht="15" customHeight="1" x14ac:dyDescent="0.2"/>
    <row r="46" spans="6:7" ht="15" customHeight="1" x14ac:dyDescent="0.2"/>
    <row r="47" spans="6:7" ht="15" customHeight="1" x14ac:dyDescent="0.2"/>
    <row r="48" spans="6:7" ht="15" customHeight="1" x14ac:dyDescent="0.2"/>
    <row r="49" ht="15" customHeight="1" x14ac:dyDescent="0.2"/>
    <row r="50" ht="15" customHeight="1" x14ac:dyDescent="0.2"/>
    <row r="51" ht="15" customHeight="1" x14ac:dyDescent="0.2"/>
    <row r="52" ht="15" customHeight="1" x14ac:dyDescent="0.2"/>
    <row r="53" ht="15" customHeight="1" x14ac:dyDescent="0.2"/>
  </sheetData>
  <pageMargins left="0.7" right="0.7" top="0.75" bottom="0.75" header="0.3" footer="0.3"/>
  <pageSetup orientation="portrait" horizontalDpi="300" verticalDpi="300" r:id="rId1"/>
  <ignoredErrors>
    <ignoredError sqref="C3 C5:C7 H6:H8 H9:H15 I3:I15 H3:H4" calculatedColumn="1"/>
  </ignoredErrors>
  <tableParts count="4">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797E-2EFF-4EDA-98DE-5650C91D4B69}">
  <dimension ref="B32:C36"/>
  <sheetViews>
    <sheetView zoomScaleNormal="100" workbookViewId="0">
      <selection activeCell="H32" sqref="H32"/>
    </sheetView>
  </sheetViews>
  <sheetFormatPr baseColWidth="10" defaultColWidth="8.83203125" defaultRowHeight="15" x14ac:dyDescent="0.2"/>
  <sheetData>
    <row r="32" spans="2:3" ht="16" x14ac:dyDescent="0.2">
      <c r="B32" s="2"/>
      <c r="C32" s="25"/>
    </row>
    <row r="33" spans="2:3" ht="16" x14ac:dyDescent="0.2">
      <c r="B33" s="28"/>
      <c r="C33" s="22"/>
    </row>
    <row r="34" spans="2:3" ht="16" x14ac:dyDescent="0.2">
      <c r="B34" s="12"/>
      <c r="C34" s="22"/>
    </row>
    <row r="35" spans="2:3" ht="16" x14ac:dyDescent="0.2">
      <c r="B35" s="12"/>
      <c r="C35" s="22"/>
    </row>
    <row r="36" spans="2:3" ht="16" x14ac:dyDescent="0.2">
      <c r="B36" s="12"/>
      <c r="C36" s="22"/>
    </row>
  </sheetData>
  <pageMargins left="0.7" right="0.7" top="0.75" bottom="0.75" header="0.3" footer="0.3"/>
  <drawing r:id="rId1"/>
  <extLst>
    <ext xmlns:x15="http://schemas.microsoft.com/office/spreadsheetml/2010/11/main" uri="{F7C9EE02-42E1-4005-9D12-6889AFFD525C}">
      <x15:webExtensions xmlns:xm="http://schemas.microsoft.com/office/excel/2006/main">
        <x15:webExtension appRef="{A6DDE8EF-38AE-4F9B-B97D-BA0FCED26231}">
          <xm:f>'Summary Data'!$F$32:$G$36</xm:f>
        </x15:webExtension>
      </x15:webExtens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9B4F0-912F-4CF9-801C-BCF31675465C}">
  <dimension ref="B2:D28"/>
  <sheetViews>
    <sheetView zoomScale="70" zoomScaleNormal="70" workbookViewId="0"/>
  </sheetViews>
  <sheetFormatPr baseColWidth="10" defaultColWidth="8.83203125" defaultRowHeight="16" x14ac:dyDescent="0.2"/>
  <cols>
    <col min="1" max="1" width="100.1640625" style="2" customWidth="1"/>
    <col min="2" max="2" width="4.1640625" style="2" customWidth="1"/>
    <col min="3" max="3" width="21.6640625" style="2" customWidth="1"/>
    <col min="4" max="4" width="66.83203125" style="2" customWidth="1"/>
    <col min="5" max="16384" width="8.83203125" style="2"/>
  </cols>
  <sheetData>
    <row r="2" spans="2:4" ht="24" x14ac:dyDescent="0.3">
      <c r="C2" s="30" t="s">
        <v>469</v>
      </c>
      <c r="D2" s="31"/>
    </row>
    <row r="3" spans="2:4" x14ac:dyDescent="0.2">
      <c r="C3" s="32" t="s">
        <v>363</v>
      </c>
      <c r="D3" s="33" t="s">
        <v>470</v>
      </c>
    </row>
    <row r="4" spans="2:4" x14ac:dyDescent="0.2">
      <c r="C4" s="34" t="s">
        <v>364</v>
      </c>
      <c r="D4" s="35" t="s">
        <v>471</v>
      </c>
    </row>
    <row r="5" spans="2:4" x14ac:dyDescent="0.2">
      <c r="C5" s="34" t="s">
        <v>365</v>
      </c>
      <c r="D5" s="35" t="s">
        <v>472</v>
      </c>
    </row>
    <row r="6" spans="2:4" ht="15.75" customHeight="1" x14ac:dyDescent="0.2">
      <c r="C6" s="34" t="s">
        <v>422</v>
      </c>
      <c r="D6" s="35" t="s">
        <v>473</v>
      </c>
    </row>
    <row r="7" spans="2:4" ht="15.5" customHeight="1" x14ac:dyDescent="0.2">
      <c r="C7" s="34" t="s">
        <v>431</v>
      </c>
      <c r="D7" s="35" t="s">
        <v>474</v>
      </c>
    </row>
    <row r="8" spans="2:4" x14ac:dyDescent="0.2">
      <c r="C8" s="34" t="s">
        <v>475</v>
      </c>
      <c r="D8" s="35" t="s">
        <v>476</v>
      </c>
    </row>
    <row r="9" spans="2:4" x14ac:dyDescent="0.2">
      <c r="C9" s="36" t="s">
        <v>477</v>
      </c>
      <c r="D9" s="34" t="s">
        <v>478</v>
      </c>
    </row>
    <row r="10" spans="2:4" x14ac:dyDescent="0.2">
      <c r="B10" s="37"/>
      <c r="C10" s="34" t="s">
        <v>479</v>
      </c>
      <c r="D10" s="35" t="s">
        <v>480</v>
      </c>
    </row>
    <row r="11" spans="2:4" x14ac:dyDescent="0.2">
      <c r="C11" s="34" t="s">
        <v>481</v>
      </c>
      <c r="D11" s="35" t="s">
        <v>482</v>
      </c>
    </row>
    <row r="12" spans="2:4" x14ac:dyDescent="0.2">
      <c r="C12" s="34" t="s">
        <v>483</v>
      </c>
      <c r="D12" s="35" t="s">
        <v>484</v>
      </c>
    </row>
    <row r="13" spans="2:4" x14ac:dyDescent="0.2">
      <c r="C13" s="34" t="s">
        <v>479</v>
      </c>
      <c r="D13" s="35" t="s">
        <v>480</v>
      </c>
    </row>
    <row r="14" spans="2:4" x14ac:dyDescent="0.2">
      <c r="C14" s="34" t="s">
        <v>481</v>
      </c>
      <c r="D14" s="35" t="s">
        <v>485</v>
      </c>
    </row>
    <row r="15" spans="2:4" x14ac:dyDescent="0.2">
      <c r="C15" s="38" t="s">
        <v>483</v>
      </c>
      <c r="D15" s="39" t="s">
        <v>484</v>
      </c>
    </row>
    <row r="17" spans="3:4" ht="24" x14ac:dyDescent="0.3">
      <c r="C17" s="30" t="s">
        <v>486</v>
      </c>
      <c r="D17" s="31"/>
    </row>
    <row r="18" spans="3:4" x14ac:dyDescent="0.2">
      <c r="C18" s="34" t="s">
        <v>364</v>
      </c>
      <c r="D18" s="35" t="s">
        <v>487</v>
      </c>
    </row>
    <row r="19" spans="3:4" x14ac:dyDescent="0.2">
      <c r="C19" s="34" t="s">
        <v>427</v>
      </c>
      <c r="D19" s="35" t="s">
        <v>488</v>
      </c>
    </row>
    <row r="20" spans="3:4" x14ac:dyDescent="0.2">
      <c r="C20" s="36" t="s">
        <v>489</v>
      </c>
      <c r="D20" s="34" t="s">
        <v>490</v>
      </c>
    </row>
    <row r="21" spans="3:4" x14ac:dyDescent="0.2">
      <c r="C21" s="34" t="s">
        <v>491</v>
      </c>
      <c r="D21" s="35" t="s">
        <v>492</v>
      </c>
    </row>
    <row r="22" spans="3:4" x14ac:dyDescent="0.2">
      <c r="C22" s="34" t="s">
        <v>493</v>
      </c>
      <c r="D22" s="35" t="s">
        <v>494</v>
      </c>
    </row>
    <row r="23" spans="3:4" x14ac:dyDescent="0.2">
      <c r="C23" s="34" t="s">
        <v>495</v>
      </c>
      <c r="D23" s="35" t="s">
        <v>496</v>
      </c>
    </row>
    <row r="24" spans="3:4" x14ac:dyDescent="0.2">
      <c r="C24" s="34" t="s">
        <v>497</v>
      </c>
      <c r="D24" s="35" t="s">
        <v>498</v>
      </c>
    </row>
    <row r="25" spans="3:4" x14ac:dyDescent="0.2">
      <c r="C25" s="34" t="s">
        <v>426</v>
      </c>
      <c r="D25" s="35" t="s">
        <v>499</v>
      </c>
    </row>
    <row r="26" spans="3:4" x14ac:dyDescent="0.2">
      <c r="C26" s="34" t="s">
        <v>493</v>
      </c>
      <c r="D26" s="35" t="s">
        <v>494</v>
      </c>
    </row>
    <row r="27" spans="3:4" x14ac:dyDescent="0.2">
      <c r="C27" s="34" t="s">
        <v>495</v>
      </c>
      <c r="D27" s="35" t="s">
        <v>496</v>
      </c>
    </row>
    <row r="28" spans="3:4" x14ac:dyDescent="0.2">
      <c r="C28" s="38" t="s">
        <v>497</v>
      </c>
      <c r="D28" s="39" t="s">
        <v>498</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1 6 " ? > < D a t a M a s h u p   s q m i d = " 2 2 7 a d c 4 6 - e 6 7 d - 4 4 3 9 - 9 9 f 0 - 5 f b e 7 0 9 a f 9 5 c "   x m l n s = " h t t p : / / s c h e m a s . m i c r o s o f t . c o m / D a t a M a s h u p " > A A A A A B Q D A A B Q S w M E F A A C A A g A Q W g E U 3 4 p H o q k A A A A 9 Q A A A B I A H A B D b 2 5 m a W c v U G F j a 2 F n Z S 5 4 b W w g o h g A K K A U A A A A A A A A A A A A A A A A A A A A A A A A A A A A h Y 9 N D o I w F I S v Q r q n R f y J k k d Z u J X E h G j c N q V C I z w M L Z a 7 u f B I X k G M o u 5 c z n z f Y u Z + v U H S 1 5 V 3 U a 3 R D c Z k Q g P i K Z R N r r G I S W e P / p I k H L Z C n k S h v E F G E / U m j 0 l p 7 T l i z D l H 3 Z Q 2 b c H C I J i w Q 7 r J Z K l q Q T 6 y / i / 7 G o 0 V K B X h s H + N 4 S F d z e l i N k w C N n a Q a v z y c G B P + l P C u q t s 1 y q u 0 N 9 l w M Y I 7 H 2 B P w B Q S w M E F A A C A A g A Q W g E 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F o B F M o i k e 4 D g A A A B E A A A A T A B w A R m 9 y b X V s Y X M v U 2 V j d G l v b j E u b S C i G A A o o B Q A A A A A A A A A A A A A A A A A A A A A A A A A A A A r T k 0 u y c z P U w i G 0 I b W A F B L A Q I t A B Q A A g A I A E F o B F N + K R 6 K p A A A A P U A A A A S A A A A A A A A A A A A A A A A A A A A A A B D b 2 5 m a W c v U G F j a 2 F n Z S 5 4 b W x Q S w E C L Q A U A A I A C A B B a A R T D 8 r p q 6 Q A A A D p A A A A E w A A A A A A A A A A A A A A A A D w A A A A W 0 N v b n R l b n R f V H l w Z X N d L n h t b F B L A Q I t A B Q A A g A I A E F o B F M 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l k B A A A A A A A A N w 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w v S X R l b X M + P C 9 M b 2 N h b F B h Y 2 t h Z 2 V N Z X R h Z G F 0 Y U Z p b G U + F g A A A F B L B Q Y A A A A A A A A A A A A A A A A A A A A A A A A m A Q A A A Q A A A N C M n d 8 B F d E R j H o A w E / C l + s B A A A A S x s T x B x u / E K f + l d D n j e J h w A A A A A C A A A A A A A Q Z g A A A A E A A C A A A A D 8 E h m w b 6 K g e 2 V B m D n 7 5 J P 4 + P j g h 4 V i B Q W w 5 9 O 0 Q 5 x l i Q A A A A A O g A A A A A I A A C A A A A D X b J o y j D z I 6 Z + B m Q N 3 u 3 D w d C B d s f m D T x 2 z A b k E k D a j 6 F A A A A B V B v L V m Y r P p c d s 6 X N r G q 2 r 8 A c H 0 M S J H v i G 6 t F i B M D 9 d q k E L S b a x o b X 9 W B x 8 t L h B l 1 t c Z Q I 7 C A D R c V J + V U 5 V O g e 7 i I L J h i U L W w R k n k L 8 8 u Z 3 E A A A A D T c g X Z 1 D K 5 S m i E 3 F b b 1 0 h x f R I z H r Q Z v K w / R q O 1 Z S x S a q 4 U c N v l A j 1 C D g 2 N v U F N X d m s 6 w E Z f x I M F d W J g m z K 8 z G K < / D a t a M a s h u p > 
</file>

<file path=customXml/item4.xml><?xml version="1.0" encoding="utf-8"?>
<ct:contentTypeSchema xmlns:ct="http://schemas.microsoft.com/office/2006/metadata/contentType" xmlns:ma="http://schemas.microsoft.com/office/2006/metadata/properties/metaAttributes" ct:_="" ma:_="" ma:contentTypeName="Document" ma:contentTypeID="0x0101009129DBE2DD9EFD4B81439A397942DC8A" ma:contentTypeVersion="14" ma:contentTypeDescription="Create a new document." ma:contentTypeScope="" ma:versionID="78b777ca918e757a8f13711daac4caa0">
  <xsd:schema xmlns:xsd="http://www.w3.org/2001/XMLSchema" xmlns:xs="http://www.w3.org/2001/XMLSchema" xmlns:p="http://schemas.microsoft.com/office/2006/metadata/properties" xmlns:ns1="http://schemas.microsoft.com/sharepoint/v3" xmlns:ns2="821b467c-dfb8-4b22-84bd-4d3765027b35" xmlns:ns3="1e6f2d80-2360-440b-a86f-4e374efa82c3" targetNamespace="http://schemas.microsoft.com/office/2006/metadata/properties" ma:root="true" ma:fieldsID="1702847fecbbaaede85b5eb2d7016cd6" ns1:_="" ns2:_="" ns3:_="">
    <xsd:import namespace="http://schemas.microsoft.com/sharepoint/v3"/>
    <xsd:import namespace="821b467c-dfb8-4b22-84bd-4d3765027b35"/>
    <xsd:import namespace="1e6f2d80-2360-440b-a86f-4e374efa82c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PublishingStartDate" minOccurs="0"/>
                <xsd:element ref="ns1:PublishingExpirationDate"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4"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5"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1b467c-dfb8-4b22-84bd-4d3765027b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6f2d80-2360-440b-a86f-4e374efa82c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8F2965-B12E-452A-8843-79FC2160E3CC}">
  <ds:schemaRefs>
    <ds:schemaRef ds:uri="http://schemas.microsoft.com/sharepoint/v3/contenttype/forms"/>
  </ds:schemaRefs>
</ds:datastoreItem>
</file>

<file path=customXml/itemProps2.xml><?xml version="1.0" encoding="utf-8"?>
<ds:datastoreItem xmlns:ds="http://schemas.openxmlformats.org/officeDocument/2006/customXml" ds:itemID="{DBA78C87-9C50-4B89-8943-4875E653C8AA}">
  <ds:schemaRefs>
    <ds:schemaRef ds:uri="http://schemas.microsoft.com/office/infopath/2007/PartnerControls"/>
    <ds:schemaRef ds:uri="http://schemas.openxmlformats.org/package/2006/metadata/core-properties"/>
    <ds:schemaRef ds:uri="1e6f2d80-2360-440b-a86f-4e374efa82c3"/>
    <ds:schemaRef ds:uri="http://schemas.microsoft.com/office/2006/documentManagement/types"/>
    <ds:schemaRef ds:uri="821b467c-dfb8-4b22-84bd-4d3765027b35"/>
    <ds:schemaRef ds:uri="http://www.w3.org/XML/1998/namespace"/>
    <ds:schemaRef ds:uri="http://purl.org/dc/elements/1.1/"/>
    <ds:schemaRef ds:uri="http://purl.org/dc/dcmitype/"/>
    <ds:schemaRef ds:uri="http://schemas.microsoft.com/sharepoint/v3"/>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EF90438F-65AC-4696-B849-6BA41A9EDB64}">
  <ds:schemaRefs>
    <ds:schemaRef ds:uri="http://schemas.microsoft.com/DataMashup"/>
  </ds:schemaRefs>
</ds:datastoreItem>
</file>

<file path=customXml/itemProps4.xml><?xml version="1.0" encoding="utf-8"?>
<ds:datastoreItem xmlns:ds="http://schemas.openxmlformats.org/officeDocument/2006/customXml" ds:itemID="{99D8DEA6-8399-4782-AA8A-978F71E97C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1b467c-dfb8-4b22-84bd-4d3765027b35"/>
    <ds:schemaRef ds:uri="1e6f2d80-2360-440b-a86f-4e374efa82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Nurse</vt:lpstr>
      <vt:lpstr>Contract</vt:lpstr>
      <vt:lpstr>Non-Nurse</vt:lpstr>
      <vt:lpstr>Summary Data</vt:lpstr>
      <vt:lpstr>Charts</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Hayley Cronquist</cp:lastModifiedBy>
  <dcterms:created xsi:type="dcterms:W3CDTF">2021-07-15T14:38:51Z</dcterms:created>
  <dcterms:modified xsi:type="dcterms:W3CDTF">2021-08-13T19:11:29Z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0x0101009129DBE2DD9EFD4B81439A397942DC8A</vt:lpwstr>
  </property>
</Properties>
</file>