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5.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Box Sync/*LTCCC/Data/State Staffing Data_edited[95]/"/>
    </mc:Choice>
  </mc:AlternateContent>
  <xr:revisionPtr revIDLastSave="0" documentId="13_ncr:1_{9063B4E1-7956-7A48-B169-8C272AA13BCA}"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7" l="1"/>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2" i="7"/>
  <c r="H2" i="7"/>
  <c r="H18" i="7"/>
  <c r="H19" i="7"/>
  <c r="H20" i="7"/>
  <c r="H21" i="7"/>
  <c r="H22" i="7"/>
  <c r="H23" i="7"/>
  <c r="H24" i="7"/>
  <c r="H25" i="7"/>
  <c r="H26" i="7"/>
  <c r="H27" i="7"/>
  <c r="H28" i="7"/>
  <c r="H29" i="7"/>
  <c r="H30" i="7"/>
  <c r="H31" i="7"/>
  <c r="H32" i="7"/>
  <c r="H33" i="7"/>
  <c r="H34" i="7"/>
  <c r="H35" i="7"/>
  <c r="H36" i="7"/>
  <c r="H37" i="7"/>
  <c r="H38" i="7"/>
  <c r="H39" i="7"/>
  <c r="H40" i="7"/>
  <c r="H41" i="7"/>
  <c r="H42"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2" i="7"/>
  <c r="H4" i="10"/>
  <c r="G28" i="10" l="1"/>
  <c r="G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I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K2" i="6" l="1"/>
  <c r="L2" i="6"/>
  <c r="H2" i="6" s="1"/>
  <c r="P2" i="6"/>
  <c r="S2" i="6"/>
  <c r="W2" i="6"/>
  <c r="K3" i="6"/>
  <c r="L3" i="6"/>
  <c r="P3" i="6"/>
  <c r="S3" i="6"/>
  <c r="W3" i="6"/>
  <c r="K4" i="6"/>
  <c r="L4" i="6"/>
  <c r="H4" i="6" s="1"/>
  <c r="P4" i="6"/>
  <c r="S4" i="6"/>
  <c r="W4" i="6"/>
  <c r="K5" i="6"/>
  <c r="L5" i="6"/>
  <c r="H5" i="6" s="1"/>
  <c r="P5" i="6"/>
  <c r="S5" i="6"/>
  <c r="W5" i="6"/>
  <c r="K6" i="6"/>
  <c r="L6" i="6"/>
  <c r="H6" i="6" s="1"/>
  <c r="P6" i="6"/>
  <c r="J6" i="6" s="1"/>
  <c r="F6" i="6" s="1"/>
  <c r="S6" i="6"/>
  <c r="W6" i="6"/>
  <c r="K7" i="6"/>
  <c r="L7" i="6"/>
  <c r="H7" i="6" s="1"/>
  <c r="P7" i="6"/>
  <c r="S7" i="6"/>
  <c r="W7" i="6"/>
  <c r="K8" i="6"/>
  <c r="L8" i="6"/>
  <c r="H8" i="6" s="1"/>
  <c r="P8" i="6"/>
  <c r="S8" i="6"/>
  <c r="W8" i="6"/>
  <c r="K9" i="6"/>
  <c r="L9" i="6"/>
  <c r="P9" i="6"/>
  <c r="S9" i="6"/>
  <c r="W9" i="6"/>
  <c r="K10" i="6"/>
  <c r="L10" i="6"/>
  <c r="H10" i="6" s="1"/>
  <c r="P10" i="6"/>
  <c r="S10" i="6"/>
  <c r="W10" i="6"/>
  <c r="K11" i="6"/>
  <c r="L11" i="6"/>
  <c r="H11" i="6" s="1"/>
  <c r="P11" i="6"/>
  <c r="S11" i="6"/>
  <c r="W11" i="6"/>
  <c r="H12" i="6"/>
  <c r="K12" i="6"/>
  <c r="L12" i="6"/>
  <c r="P12" i="6"/>
  <c r="S12" i="6"/>
  <c r="W12" i="6"/>
  <c r="K13" i="6"/>
  <c r="L13" i="6"/>
  <c r="H13" i="6" s="1"/>
  <c r="P13" i="6"/>
  <c r="S13" i="6"/>
  <c r="W13" i="6"/>
  <c r="K14" i="6"/>
  <c r="L14" i="6"/>
  <c r="H14" i="6" s="1"/>
  <c r="P14" i="6"/>
  <c r="S14" i="6"/>
  <c r="W14" i="6"/>
  <c r="K15" i="6"/>
  <c r="L15" i="6"/>
  <c r="H15" i="6" s="1"/>
  <c r="P15" i="6"/>
  <c r="S15" i="6"/>
  <c r="W15" i="6"/>
  <c r="K16" i="6"/>
  <c r="L16" i="6"/>
  <c r="H16" i="6" s="1"/>
  <c r="P16" i="6"/>
  <c r="S16" i="6"/>
  <c r="W16" i="6"/>
  <c r="K17" i="6"/>
  <c r="L17" i="6"/>
  <c r="P17" i="6"/>
  <c r="S17" i="6"/>
  <c r="W17" i="6"/>
  <c r="K18" i="6"/>
  <c r="L18" i="6"/>
  <c r="H18" i="6" s="1"/>
  <c r="P18" i="6"/>
  <c r="S18" i="6"/>
  <c r="W18" i="6"/>
  <c r="K19" i="6"/>
  <c r="L19" i="6"/>
  <c r="P19" i="6"/>
  <c r="S19" i="6"/>
  <c r="W19" i="6"/>
  <c r="K20" i="6"/>
  <c r="L20" i="6"/>
  <c r="H20" i="6" s="1"/>
  <c r="P20" i="6"/>
  <c r="S20" i="6"/>
  <c r="W20" i="6"/>
  <c r="K21" i="6"/>
  <c r="L21" i="6"/>
  <c r="H21" i="6" s="1"/>
  <c r="P21" i="6"/>
  <c r="S21" i="6"/>
  <c r="W21" i="6"/>
  <c r="K22" i="6"/>
  <c r="L22" i="6"/>
  <c r="H22" i="6" s="1"/>
  <c r="P22" i="6"/>
  <c r="S22" i="6"/>
  <c r="W22" i="6"/>
  <c r="K23" i="6"/>
  <c r="L23" i="6"/>
  <c r="H23" i="6" s="1"/>
  <c r="P23" i="6"/>
  <c r="S23" i="6"/>
  <c r="W23" i="6"/>
  <c r="K24" i="6"/>
  <c r="L24" i="6"/>
  <c r="H24" i="6" s="1"/>
  <c r="P24" i="6"/>
  <c r="S24" i="6"/>
  <c r="W24" i="6"/>
  <c r="K25" i="6"/>
  <c r="L25" i="6"/>
  <c r="P25" i="6"/>
  <c r="S25" i="6"/>
  <c r="W25" i="6"/>
  <c r="K26" i="6"/>
  <c r="L26" i="6"/>
  <c r="H26" i="6" s="1"/>
  <c r="P26" i="6"/>
  <c r="S26" i="6"/>
  <c r="W26" i="6"/>
  <c r="K27" i="6"/>
  <c r="L27" i="6"/>
  <c r="H27" i="6" s="1"/>
  <c r="P27" i="6"/>
  <c r="S27" i="6"/>
  <c r="W27" i="6"/>
  <c r="K28" i="6"/>
  <c r="L28" i="6"/>
  <c r="H28" i="6" s="1"/>
  <c r="P28" i="6"/>
  <c r="S28" i="6"/>
  <c r="W28" i="6"/>
  <c r="K29" i="6"/>
  <c r="L29" i="6"/>
  <c r="H29" i="6" s="1"/>
  <c r="P29" i="6"/>
  <c r="S29" i="6"/>
  <c r="W29" i="6"/>
  <c r="K30" i="6"/>
  <c r="L30" i="6"/>
  <c r="H30" i="6" s="1"/>
  <c r="P30" i="6"/>
  <c r="S30" i="6"/>
  <c r="W30" i="6"/>
  <c r="K31" i="6"/>
  <c r="L31" i="6"/>
  <c r="H31" i="6" s="1"/>
  <c r="P31" i="6"/>
  <c r="S31" i="6"/>
  <c r="W31" i="6"/>
  <c r="K32" i="6"/>
  <c r="L32" i="6"/>
  <c r="H32" i="6" s="1"/>
  <c r="P32" i="6"/>
  <c r="S32" i="6"/>
  <c r="W32" i="6"/>
  <c r="K33" i="6"/>
  <c r="L33" i="6"/>
  <c r="P33" i="6"/>
  <c r="S33" i="6"/>
  <c r="W33" i="6"/>
  <c r="K34" i="6"/>
  <c r="L34" i="6"/>
  <c r="H34" i="6" s="1"/>
  <c r="P34" i="6"/>
  <c r="S34" i="6"/>
  <c r="W34" i="6"/>
  <c r="K35" i="6"/>
  <c r="L35" i="6"/>
  <c r="H35" i="6" s="1"/>
  <c r="P35" i="6"/>
  <c r="S35" i="6"/>
  <c r="W35" i="6"/>
  <c r="K36" i="6"/>
  <c r="L36" i="6"/>
  <c r="H36" i="6" s="1"/>
  <c r="P36" i="6"/>
  <c r="S36" i="6"/>
  <c r="W36" i="6"/>
  <c r="K37" i="6"/>
  <c r="L37" i="6"/>
  <c r="H37" i="6" s="1"/>
  <c r="P37" i="6"/>
  <c r="S37" i="6"/>
  <c r="W37" i="6"/>
  <c r="K38" i="6"/>
  <c r="L38" i="6"/>
  <c r="H38" i="6" s="1"/>
  <c r="P38" i="6"/>
  <c r="S38" i="6"/>
  <c r="W38" i="6"/>
  <c r="K39" i="6"/>
  <c r="L39" i="6"/>
  <c r="H39" i="6" s="1"/>
  <c r="P39" i="6"/>
  <c r="S39" i="6"/>
  <c r="W39" i="6"/>
  <c r="K40" i="6"/>
  <c r="L40" i="6"/>
  <c r="H40" i="6" s="1"/>
  <c r="P40" i="6"/>
  <c r="S40" i="6"/>
  <c r="W40" i="6"/>
  <c r="K41" i="6"/>
  <c r="L41" i="6"/>
  <c r="P41" i="6"/>
  <c r="S41" i="6"/>
  <c r="W41" i="6"/>
  <c r="K42" i="6"/>
  <c r="L42" i="6"/>
  <c r="H42" i="6" s="1"/>
  <c r="P42" i="6"/>
  <c r="S42" i="6"/>
  <c r="W42" i="6"/>
  <c r="J17" i="6" l="1"/>
  <c r="F17" i="6" s="1"/>
  <c r="J29" i="6"/>
  <c r="F29" i="6" s="1"/>
  <c r="J4" i="6"/>
  <c r="F4" i="6" s="1"/>
  <c r="J7" i="6"/>
  <c r="F7" i="6" s="1"/>
  <c r="J27" i="6"/>
  <c r="F27" i="6" s="1"/>
  <c r="J39" i="6"/>
  <c r="F39" i="6" s="1"/>
  <c r="J37" i="6"/>
  <c r="F37" i="6" s="1"/>
  <c r="J31" i="6"/>
  <c r="F31" i="6" s="1"/>
  <c r="J25" i="6"/>
  <c r="F25" i="6" s="1"/>
  <c r="J38" i="6"/>
  <c r="F38" i="6" s="1"/>
  <c r="J33" i="6"/>
  <c r="F33" i="6" s="1"/>
  <c r="J41" i="6"/>
  <c r="F41" i="6" s="1"/>
  <c r="J14" i="6"/>
  <c r="F14" i="6" s="1"/>
  <c r="J3" i="6"/>
  <c r="F3" i="6" s="1"/>
  <c r="J22" i="6"/>
  <c r="F22" i="6" s="1"/>
  <c r="J15" i="6"/>
  <c r="F15" i="6" s="1"/>
  <c r="J12" i="6"/>
  <c r="F12" i="6" s="1"/>
  <c r="J11" i="6"/>
  <c r="F11" i="6" s="1"/>
  <c r="J30" i="6"/>
  <c r="F30" i="6" s="1"/>
  <c r="J23" i="6"/>
  <c r="F23" i="6" s="1"/>
  <c r="J20" i="6"/>
  <c r="F20" i="6" s="1"/>
  <c r="J19" i="6"/>
  <c r="F19" i="6" s="1"/>
  <c r="J5" i="6"/>
  <c r="F5" i="6" s="1"/>
  <c r="H3" i="6"/>
  <c r="J28" i="6"/>
  <c r="F28" i="6" s="1"/>
  <c r="J13" i="6"/>
  <c r="F13" i="6" s="1"/>
  <c r="J36" i="6"/>
  <c r="F36" i="6" s="1"/>
  <c r="J35" i="6"/>
  <c r="F35" i="6" s="1"/>
  <c r="J21" i="6"/>
  <c r="F21" i="6" s="1"/>
  <c r="H19" i="6"/>
  <c r="J9" i="6"/>
  <c r="F9" i="6" s="1"/>
  <c r="J42" i="6"/>
  <c r="F42" i="6" s="1"/>
  <c r="H41" i="6"/>
  <c r="J34" i="6"/>
  <c r="F34" i="6" s="1"/>
  <c r="H33" i="6"/>
  <c r="J26" i="6"/>
  <c r="F26" i="6" s="1"/>
  <c r="H25" i="6"/>
  <c r="J18" i="6"/>
  <c r="F18" i="6" s="1"/>
  <c r="H17" i="6"/>
  <c r="J10" i="6"/>
  <c r="F10" i="6" s="1"/>
  <c r="H9" i="6"/>
  <c r="J2" i="6"/>
  <c r="F2" i="6" s="1"/>
  <c r="J40" i="6"/>
  <c r="F40" i="6" s="1"/>
  <c r="J32" i="6"/>
  <c r="F32" i="6" s="1"/>
  <c r="J24" i="6"/>
  <c r="F24" i="6" s="1"/>
  <c r="J16" i="6"/>
  <c r="F16" i="6" s="1"/>
  <c r="J8" i="6"/>
  <c r="F8" i="6" s="1"/>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G26" i="10"/>
  <c r="G25" i="10"/>
  <c r="G24" i="10"/>
  <c r="G23" i="10"/>
  <c r="G22" i="10"/>
  <c r="G21" i="10"/>
  <c r="G20" i="10"/>
  <c r="G19" i="10"/>
  <c r="G15" i="10"/>
  <c r="G14" i="10"/>
  <c r="G13" i="10"/>
  <c r="G11" i="10"/>
  <c r="G10" i="10"/>
  <c r="G8" i="10"/>
  <c r="G7" i="10"/>
  <c r="G6" i="10"/>
  <c r="C7" i="10"/>
  <c r="C6" i="10"/>
  <c r="C3" i="10"/>
  <c r="G12" i="10" l="1"/>
  <c r="I12" i="10" s="1"/>
  <c r="G36" i="10" s="1"/>
  <c r="I8" i="10"/>
  <c r="I7" i="10"/>
  <c r="I10" i="10"/>
  <c r="I11" i="10"/>
  <c r="I13" i="10"/>
  <c r="I14" i="10"/>
  <c r="I15" i="10"/>
  <c r="I6" i="10"/>
  <c r="G27" i="10"/>
  <c r="Z42" i="8"/>
  <c r="V42" i="8"/>
  <c r="R42" i="8"/>
  <c r="O42" i="8"/>
  <c r="Z41" i="8"/>
  <c r="V41" i="8"/>
  <c r="R41" i="8"/>
  <c r="O41" i="8"/>
  <c r="Z40" i="8"/>
  <c r="V40" i="8"/>
  <c r="R40" i="8"/>
  <c r="O40" i="8"/>
  <c r="Z39" i="8"/>
  <c r="V39" i="8"/>
  <c r="R39" i="8"/>
  <c r="O39" i="8"/>
  <c r="Z38" i="8"/>
  <c r="V38" i="8"/>
  <c r="R38" i="8"/>
  <c r="O38" i="8"/>
  <c r="Z37" i="8"/>
  <c r="V37" i="8"/>
  <c r="R37" i="8"/>
  <c r="O37" i="8"/>
  <c r="Z36" i="8"/>
  <c r="V36" i="8"/>
  <c r="R36" i="8"/>
  <c r="O36" i="8"/>
  <c r="Z35" i="8"/>
  <c r="V35" i="8"/>
  <c r="R35" i="8"/>
  <c r="O35" i="8"/>
  <c r="Z34" i="8"/>
  <c r="V34" i="8"/>
  <c r="R34" i="8"/>
  <c r="O34" i="8"/>
  <c r="Z33" i="8"/>
  <c r="V33" i="8"/>
  <c r="R33" i="8"/>
  <c r="O33" i="8"/>
  <c r="Z32" i="8"/>
  <c r="V32" i="8"/>
  <c r="R32" i="8"/>
  <c r="O32" i="8"/>
  <c r="Z31" i="8"/>
  <c r="V31" i="8"/>
  <c r="R31" i="8"/>
  <c r="O31" i="8"/>
  <c r="Z30" i="8"/>
  <c r="V30" i="8"/>
  <c r="R30" i="8"/>
  <c r="O30" i="8"/>
  <c r="Z29" i="8"/>
  <c r="V29" i="8"/>
  <c r="R29" i="8"/>
  <c r="O29" i="8"/>
  <c r="Z28" i="8"/>
  <c r="V28" i="8"/>
  <c r="R28" i="8"/>
  <c r="O28" i="8"/>
  <c r="Z27" i="8"/>
  <c r="V27" i="8"/>
  <c r="R27" i="8"/>
  <c r="O27" i="8"/>
  <c r="Z26" i="8"/>
  <c r="V26" i="8"/>
  <c r="R26" i="8"/>
  <c r="O26" i="8"/>
  <c r="Z25" i="8"/>
  <c r="V25" i="8"/>
  <c r="R25" i="8"/>
  <c r="O25" i="8"/>
  <c r="Z24" i="8"/>
  <c r="V24" i="8"/>
  <c r="R24" i="8"/>
  <c r="O24" i="8"/>
  <c r="Z23" i="8"/>
  <c r="V23" i="8"/>
  <c r="R23" i="8"/>
  <c r="O23" i="8"/>
  <c r="Z22" i="8"/>
  <c r="V22" i="8"/>
  <c r="R22" i="8"/>
  <c r="O22" i="8"/>
  <c r="Z21" i="8"/>
  <c r="V21" i="8"/>
  <c r="R21" i="8"/>
  <c r="O21" i="8"/>
  <c r="Z20" i="8"/>
  <c r="V20" i="8"/>
  <c r="R20" i="8"/>
  <c r="O20" i="8"/>
  <c r="Z19" i="8"/>
  <c r="V19" i="8"/>
  <c r="R19" i="8"/>
  <c r="O19" i="8"/>
  <c r="Z18" i="8"/>
  <c r="V18" i="8"/>
  <c r="R18" i="8"/>
  <c r="O18" i="8"/>
  <c r="Z17" i="8"/>
  <c r="V17" i="8"/>
  <c r="R17" i="8"/>
  <c r="O17" i="8"/>
  <c r="Z16" i="8"/>
  <c r="V16" i="8"/>
  <c r="R16" i="8"/>
  <c r="O16" i="8"/>
  <c r="Z15" i="8"/>
  <c r="V15" i="8"/>
  <c r="R15" i="8"/>
  <c r="O15" i="8"/>
  <c r="Z14" i="8"/>
  <c r="V14" i="8"/>
  <c r="R14" i="8"/>
  <c r="O14" i="8"/>
  <c r="Z13" i="8"/>
  <c r="V13" i="8"/>
  <c r="R13" i="8"/>
  <c r="O13" i="8"/>
  <c r="Z12" i="8"/>
  <c r="V12" i="8"/>
  <c r="R12" i="8"/>
  <c r="O12" i="8"/>
  <c r="Z11" i="8"/>
  <c r="V11" i="8"/>
  <c r="R11" i="8"/>
  <c r="O11" i="8"/>
  <c r="Z10" i="8"/>
  <c r="V10" i="8"/>
  <c r="R10" i="8"/>
  <c r="O10" i="8"/>
  <c r="Z9" i="8"/>
  <c r="V9" i="8"/>
  <c r="R9" i="8"/>
  <c r="O9" i="8"/>
  <c r="Z8" i="8"/>
  <c r="V8" i="8"/>
  <c r="R8" i="8"/>
  <c r="O8" i="8"/>
  <c r="Z7" i="8"/>
  <c r="V7" i="8"/>
  <c r="R7" i="8"/>
  <c r="O7" i="8"/>
  <c r="Z6" i="8"/>
  <c r="V6" i="8"/>
  <c r="R6" i="8"/>
  <c r="O6" i="8"/>
  <c r="Z5" i="8"/>
  <c r="V5" i="8"/>
  <c r="R5" i="8"/>
  <c r="O5" i="8"/>
  <c r="Z4" i="8"/>
  <c r="V4" i="8"/>
  <c r="R4" i="8"/>
  <c r="O4" i="8"/>
  <c r="Z3" i="8"/>
  <c r="V3" i="8"/>
  <c r="R3" i="8"/>
  <c r="O3" i="8"/>
  <c r="Z2" i="8"/>
  <c r="V2" i="8"/>
  <c r="R2" i="8"/>
  <c r="O2" i="8"/>
  <c r="I2" i="7"/>
  <c r="I3" i="7"/>
  <c r="K3" i="7" s="1"/>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J2"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N2" i="7"/>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Q3" i="7"/>
  <c r="Q4" i="7"/>
  <c r="Q5" i="7"/>
  <c r="Q6" i="7"/>
  <c r="Q7" i="7"/>
  <c r="Q8" i="7"/>
  <c r="Q9" i="7"/>
  <c r="Q10" i="7"/>
  <c r="Q11" i="7"/>
  <c r="Q12" i="7"/>
  <c r="Q13" i="7"/>
  <c r="Q14" i="7"/>
  <c r="Q15" i="7"/>
  <c r="Q16" i="7"/>
  <c r="Q17" i="7"/>
  <c r="Q19" i="7"/>
  <c r="Q20" i="7"/>
  <c r="Q21" i="7"/>
  <c r="Q22" i="7"/>
  <c r="Q23" i="7"/>
  <c r="Q24" i="7"/>
  <c r="Q25" i="7"/>
  <c r="Q26" i="7"/>
  <c r="Q27" i="7"/>
  <c r="Q28" i="7"/>
  <c r="Q29" i="7"/>
  <c r="Q30" i="7"/>
  <c r="Q31" i="7"/>
  <c r="Q32" i="7"/>
  <c r="Q33" i="7"/>
  <c r="Q34" i="7"/>
  <c r="Q35" i="7"/>
  <c r="Q36" i="7"/>
  <c r="Q37" i="7"/>
  <c r="Q38" i="7"/>
  <c r="Q39" i="7"/>
  <c r="Q40" i="7"/>
  <c r="Q41" i="7"/>
  <c r="T2" i="7"/>
  <c r="T3" i="7"/>
  <c r="T4" i="7"/>
  <c r="T5" i="7"/>
  <c r="T6" i="7"/>
  <c r="T7" i="7"/>
  <c r="T8" i="7"/>
  <c r="T9" i="7"/>
  <c r="T10" i="7"/>
  <c r="T11" i="7"/>
  <c r="T12" i="7"/>
  <c r="T13" i="7"/>
  <c r="T15" i="7"/>
  <c r="T16" i="7"/>
  <c r="T19" i="7"/>
  <c r="T20" i="7"/>
  <c r="T21" i="7"/>
  <c r="T22" i="7"/>
  <c r="T23" i="7"/>
  <c r="T24" i="7"/>
  <c r="T25" i="7"/>
  <c r="T26" i="7"/>
  <c r="T27" i="7"/>
  <c r="T28" i="7"/>
  <c r="T29" i="7"/>
  <c r="T30" i="7"/>
  <c r="T31" i="7"/>
  <c r="T32" i="7"/>
  <c r="T34" i="7"/>
  <c r="T35" i="7"/>
  <c r="T36" i="7"/>
  <c r="T37" i="7"/>
  <c r="T38" i="7"/>
  <c r="T39" i="7"/>
  <c r="T40" i="7"/>
  <c r="T41" i="7"/>
  <c r="T42"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AO36" i="7"/>
  <c r="AL3" i="7"/>
  <c r="AL4" i="7"/>
  <c r="AL5" i="7"/>
  <c r="AL8" i="7"/>
  <c r="AL9" i="7"/>
  <c r="AL13" i="7"/>
  <c r="AL15" i="7"/>
  <c r="AL20" i="7"/>
  <c r="AL21" i="7"/>
  <c r="AL22" i="7"/>
  <c r="AL25" i="7"/>
  <c r="AL26" i="7"/>
  <c r="AL28" i="7"/>
  <c r="AL30" i="7"/>
  <c r="AL31" i="7"/>
  <c r="AL33" i="7"/>
  <c r="AL37" i="7"/>
  <c r="AL39" i="7"/>
  <c r="AL40" i="7"/>
  <c r="AI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C3" i="7"/>
  <c r="AC5" i="7"/>
  <c r="AC8" i="7"/>
  <c r="AC12" i="7"/>
  <c r="AC26" i="7"/>
  <c r="AC31" i="7"/>
  <c r="AC33" i="7"/>
  <c r="AC36" i="7"/>
  <c r="AC41" i="7"/>
  <c r="Z2" i="7"/>
  <c r="Z3" i="7"/>
  <c r="Z4" i="7"/>
  <c r="Z5" i="7"/>
  <c r="Z6" i="7"/>
  <c r="Z7" i="7"/>
  <c r="Z8" i="7"/>
  <c r="Z9" i="7"/>
  <c r="Z10" i="7"/>
  <c r="Z11" i="7"/>
  <c r="Z12" i="7"/>
  <c r="Z13" i="7"/>
  <c r="Z14" i="7"/>
  <c r="Z15" i="7"/>
  <c r="Z16" i="7"/>
  <c r="Z17" i="7"/>
  <c r="Z18" i="7"/>
  <c r="Z19" i="7"/>
  <c r="Z20" i="7"/>
  <c r="Z21" i="7"/>
  <c r="Z22" i="7"/>
  <c r="Z23" i="7"/>
  <c r="Z24" i="7"/>
  <c r="Z25" i="7"/>
  <c r="Z26" i="7"/>
  <c r="Z27" i="7"/>
  <c r="Z30" i="7"/>
  <c r="Z31" i="7"/>
  <c r="Z32" i="7"/>
  <c r="Z33" i="7"/>
  <c r="Z34" i="7"/>
  <c r="Z36" i="7"/>
  <c r="Z37" i="7"/>
  <c r="Z38" i="7"/>
  <c r="Z40" i="7"/>
  <c r="Z41" i="7"/>
  <c r="Z42" i="7"/>
  <c r="V2" i="7"/>
  <c r="V3" i="7"/>
  <c r="V4" i="7"/>
  <c r="V5" i="7"/>
  <c r="V6" i="7"/>
  <c r="G6" i="7" s="1"/>
  <c r="V7" i="7"/>
  <c r="V8" i="7"/>
  <c r="V9" i="7"/>
  <c r="G9" i="7" s="1"/>
  <c r="V10" i="7"/>
  <c r="V11" i="7"/>
  <c r="V12" i="7"/>
  <c r="V13" i="7"/>
  <c r="V14" i="7"/>
  <c r="G14" i="7" s="1"/>
  <c r="V15" i="7"/>
  <c r="V16" i="7"/>
  <c r="V17" i="7"/>
  <c r="G17" i="7" s="1"/>
  <c r="V18" i="7"/>
  <c r="V19" i="7"/>
  <c r="V20" i="7"/>
  <c r="V21" i="7"/>
  <c r="V22" i="7"/>
  <c r="G22" i="7" s="1"/>
  <c r="V23" i="7"/>
  <c r="V24" i="7"/>
  <c r="V25" i="7"/>
  <c r="G25" i="7" s="1"/>
  <c r="V26" i="7"/>
  <c r="V27" i="7"/>
  <c r="V28" i="7"/>
  <c r="V29" i="7"/>
  <c r="V30" i="7"/>
  <c r="G30" i="7" s="1"/>
  <c r="V31" i="7"/>
  <c r="V32" i="7"/>
  <c r="V33" i="7"/>
  <c r="G33" i="7" s="1"/>
  <c r="V34" i="7"/>
  <c r="V35" i="7"/>
  <c r="V36" i="7"/>
  <c r="V37" i="7"/>
  <c r="V38" i="7"/>
  <c r="G38" i="7" s="1"/>
  <c r="V39" i="7"/>
  <c r="V40" i="7"/>
  <c r="V41" i="7"/>
  <c r="G41" i="7" s="1"/>
  <c r="V42" i="7"/>
  <c r="K6" i="7"/>
  <c r="K5" i="7"/>
  <c r="K4" i="7"/>
  <c r="G42" i="7" l="1"/>
  <c r="G34" i="7"/>
  <c r="G26" i="7"/>
  <c r="G18" i="7"/>
  <c r="G10" i="7"/>
  <c r="G2" i="7"/>
  <c r="G35" i="7"/>
  <c r="G27" i="7"/>
  <c r="G19" i="7"/>
  <c r="G11" i="7"/>
  <c r="G3" i="7"/>
  <c r="G4" i="10"/>
  <c r="I4" i="10" s="1"/>
  <c r="G40" i="7"/>
  <c r="G32" i="7"/>
  <c r="G24" i="7"/>
  <c r="G16" i="7"/>
  <c r="G8" i="7"/>
  <c r="G37" i="7"/>
  <c r="G29" i="7"/>
  <c r="G21" i="7"/>
  <c r="G13" i="7"/>
  <c r="G5" i="7"/>
  <c r="G36" i="7"/>
  <c r="G28" i="7"/>
  <c r="G20" i="7"/>
  <c r="G12" i="7"/>
  <c r="G4" i="7"/>
  <c r="G39" i="7"/>
  <c r="G31" i="7"/>
  <c r="G23" i="7"/>
  <c r="G15" i="7"/>
  <c r="G7" i="7"/>
  <c r="AF36" i="7"/>
  <c r="AF28" i="7"/>
  <c r="AF20" i="7"/>
  <c r="AF12" i="7"/>
  <c r="AF4" i="7"/>
  <c r="AF40" i="7"/>
  <c r="AF32" i="7"/>
  <c r="AF24" i="7"/>
  <c r="AF16" i="7"/>
  <c r="AF8" i="7"/>
  <c r="AF35" i="7"/>
  <c r="AF27" i="7"/>
  <c r="AF19" i="7"/>
  <c r="AF11" i="7"/>
  <c r="AF3" i="7"/>
  <c r="AF42" i="7"/>
  <c r="AF34" i="7"/>
  <c r="AF26" i="7"/>
  <c r="AF18" i="7"/>
  <c r="AF10" i="7"/>
  <c r="AF2" i="7"/>
  <c r="AF41" i="7"/>
  <c r="AF33" i="7"/>
  <c r="AF25" i="7"/>
  <c r="AF17" i="7"/>
  <c r="AF9" i="7"/>
  <c r="AF39" i="7"/>
  <c r="AF31" i="7"/>
  <c r="AF23" i="7"/>
  <c r="AF15" i="7"/>
  <c r="AF7" i="7"/>
  <c r="AF38" i="7"/>
  <c r="AF30" i="7"/>
  <c r="AF22" i="7"/>
  <c r="AF14" i="7"/>
  <c r="AF6" i="7"/>
  <c r="AF37" i="7"/>
  <c r="AF29" i="7"/>
  <c r="AF21" i="7"/>
  <c r="AF13" i="7"/>
  <c r="AF5" i="7"/>
  <c r="W36" i="7"/>
  <c r="W20" i="7"/>
  <c r="W12" i="7"/>
  <c r="W4" i="7"/>
  <c r="W27" i="7"/>
  <c r="W19" i="7"/>
  <c r="W11" i="7"/>
  <c r="W3" i="7"/>
  <c r="W38" i="7"/>
  <c r="W30" i="7"/>
  <c r="W22" i="7"/>
  <c r="W14" i="7"/>
  <c r="W6" i="7"/>
  <c r="W37" i="7"/>
  <c r="W21" i="7"/>
  <c r="W13" i="7"/>
  <c r="W5" i="7"/>
  <c r="W42" i="7"/>
  <c r="W34" i="7"/>
  <c r="W26" i="7"/>
  <c r="W18" i="7"/>
  <c r="W10" i="7"/>
  <c r="W2" i="7"/>
  <c r="W41" i="7"/>
  <c r="W33" i="7"/>
  <c r="W25" i="7"/>
  <c r="W17" i="7"/>
  <c r="W9" i="7"/>
  <c r="W40" i="7"/>
  <c r="W32" i="7"/>
  <c r="W24" i="7"/>
  <c r="W16" i="7"/>
  <c r="W8" i="7"/>
  <c r="W31" i="7"/>
  <c r="W23" i="7"/>
  <c r="W15" i="7"/>
  <c r="W7" i="7"/>
  <c r="H13" i="7"/>
  <c r="F3" i="7"/>
  <c r="H3" i="7" s="1"/>
  <c r="H14" i="7"/>
  <c r="H6" i="7"/>
  <c r="H17" i="7"/>
  <c r="H9" i="7"/>
  <c r="H10" i="7"/>
  <c r="H12" i="7"/>
  <c r="H11" i="7"/>
  <c r="H5" i="7" l="1"/>
  <c r="H16" i="7"/>
  <c r="H8" i="7"/>
  <c r="H4" i="7"/>
  <c r="H7" i="7"/>
  <c r="H15" i="7"/>
  <c r="G5" i="10" l="1"/>
  <c r="I5" i="10" s="1"/>
  <c r="G34" i="10" s="1"/>
  <c r="G9" i="10"/>
  <c r="I9" i="10" s="1"/>
  <c r="G35" i="10" s="1"/>
  <c r="C5" i="10"/>
  <c r="G3" i="10" l="1"/>
  <c r="I3" i="10" s="1"/>
  <c r="C4" i="10"/>
  <c r="G33" i="10" l="1"/>
  <c r="H7" i="10"/>
  <c r="H6" i="10"/>
  <c r="H8" i="10"/>
  <c r="H10" i="10"/>
  <c r="H11" i="10"/>
  <c r="H13" i="10"/>
  <c r="H14" i="10"/>
  <c r="H12" i="10"/>
  <c r="H15" i="10"/>
  <c r="H5" i="10"/>
  <c r="H9" i="10"/>
</calcChain>
</file>

<file path=xl/sharedStrings.xml><?xml version="1.0" encoding="utf-8"?>
<sst xmlns="http://schemas.openxmlformats.org/spreadsheetml/2006/main" count="819" uniqueCount="259">
  <si>
    <t>125002</t>
  </si>
  <si>
    <t>125003</t>
  </si>
  <si>
    <t>125004</t>
  </si>
  <si>
    <t>125007</t>
  </si>
  <si>
    <t>125009</t>
  </si>
  <si>
    <t>125010</t>
  </si>
  <si>
    <t>125011</t>
  </si>
  <si>
    <t>125013</t>
  </si>
  <si>
    <t>125014</t>
  </si>
  <si>
    <t>125015</t>
  </si>
  <si>
    <t>125019</t>
  </si>
  <si>
    <t>125020</t>
  </si>
  <si>
    <t>125021</t>
  </si>
  <si>
    <t>125024</t>
  </si>
  <si>
    <t>125026</t>
  </si>
  <si>
    <t>125029</t>
  </si>
  <si>
    <t>125032</t>
  </si>
  <si>
    <t>125033</t>
  </si>
  <si>
    <t>125038</t>
  </si>
  <si>
    <t>125040</t>
  </si>
  <si>
    <t>125041</t>
  </si>
  <si>
    <t>125042</t>
  </si>
  <si>
    <t>125043</t>
  </si>
  <si>
    <t>125045</t>
  </si>
  <si>
    <t>125046</t>
  </si>
  <si>
    <t>125047</t>
  </si>
  <si>
    <t>125048</t>
  </si>
  <si>
    <t>125050</t>
  </si>
  <si>
    <t>125051</t>
  </si>
  <si>
    <t>125052</t>
  </si>
  <si>
    <t>125055</t>
  </si>
  <si>
    <t>125056</t>
  </si>
  <si>
    <t>125057</t>
  </si>
  <si>
    <t>125059</t>
  </si>
  <si>
    <t>125061</t>
  </si>
  <si>
    <t>125062</t>
  </si>
  <si>
    <t>125063</t>
  </si>
  <si>
    <t>125064</t>
  </si>
  <si>
    <t>125065</t>
  </si>
  <si>
    <t>125066</t>
  </si>
  <si>
    <t>655000</t>
  </si>
  <si>
    <t>HI</t>
  </si>
  <si>
    <t>HILO MEDICAL CENTER</t>
  </si>
  <si>
    <t>KULA HOSPITAL</t>
  </si>
  <si>
    <t>GARDEN ISLE HEALTHCARE AND REHABILITATION CENTER</t>
  </si>
  <si>
    <t>HALE MAKUA - KAHULUI</t>
  </si>
  <si>
    <t>MALUHIA</t>
  </si>
  <si>
    <t>LEAHI HOSPITAL</t>
  </si>
  <si>
    <t>HALE NANI REHABILITATION AND NURSING CENTER</t>
  </si>
  <si>
    <t>MAUNALANI NURSING AND REHABILITATION CENTER</t>
  </si>
  <si>
    <t>ARCADIA RETIREMENT RESIDENCE</t>
  </si>
  <si>
    <t>WAHIAWA GENERAL HOSPITAL</t>
  </si>
  <si>
    <t>THE CARE CENTER OF HONOLULU</t>
  </si>
  <si>
    <t>AVALON CARE CENTER - HONOLULU, LLC</t>
  </si>
  <si>
    <t>KAUAI VETERANS MEMORIAL HOSPITAL</t>
  </si>
  <si>
    <t>NUUANU HALE</t>
  </si>
  <si>
    <t>KUAKINI GERIATRIC CARE, INC</t>
  </si>
  <si>
    <t>SAMUEL MAHELONA MEMORIAL HOSPITAL</t>
  </si>
  <si>
    <t>HALE HO'OLA HAMAKUA</t>
  </si>
  <si>
    <t>HARRY AND JEANETTE WEINBERG CARE CENTER</t>
  </si>
  <si>
    <t>ALOHA NURSING &amp; REHAB CENTRE</t>
  </si>
  <si>
    <t>LIFE CARE CENTER OF HILO</t>
  </si>
  <si>
    <t>LILIHA HEALTHCARE CENTER</t>
  </si>
  <si>
    <t>OAHU CARE FACILITY</t>
  </si>
  <si>
    <t>PEARL CITY NURSING HOME</t>
  </si>
  <si>
    <t>HALE ANUENUE RESTORATIVE CARE</t>
  </si>
  <si>
    <t>PU'UWAI 'O MAKAHA</t>
  </si>
  <si>
    <t>HALE OLA KINO</t>
  </si>
  <si>
    <t>ANN PEARL NURSING FACILITY</t>
  </si>
  <si>
    <t>HALE MALAMALAMA</t>
  </si>
  <si>
    <t>KA PUNAWAI OLA</t>
  </si>
  <si>
    <t>LIFE CARE CENTER OF KONA</t>
  </si>
  <si>
    <t>HI'OLANI CARE CENTER AT KAHALA NUI</t>
  </si>
  <si>
    <t>HALE MAKUA HEALTH SERVICES</t>
  </si>
  <si>
    <t>KULANA MALAMA</t>
  </si>
  <si>
    <t>PALOLO CHINESE HOME</t>
  </si>
  <si>
    <t>KAUAI CARE CENTER</t>
  </si>
  <si>
    <t>HALE KUPUNA HERITAGE HOME, LLC</t>
  </si>
  <si>
    <t>15 CRAIGSIDE</t>
  </si>
  <si>
    <t>CLARENCE TC CHING VILLAS AT ST FRANCIS</t>
  </si>
  <si>
    <t>REGENCY HILO REHABILITATION &amp; NURSING CENTER</t>
  </si>
  <si>
    <t>KALAKAUA GARDENS</t>
  </si>
  <si>
    <t>GUAM MEMORIAL HOSPITAL AUTHORITY</t>
  </si>
  <si>
    <t>HILO</t>
  </si>
  <si>
    <t>KULA</t>
  </si>
  <si>
    <t>LIHUE</t>
  </si>
  <si>
    <t>KAHULUI</t>
  </si>
  <si>
    <t>HONOLULU</t>
  </si>
  <si>
    <t>WAHIAWA</t>
  </si>
  <si>
    <t>WAIMEA</t>
  </si>
  <si>
    <t>KAPAA</t>
  </si>
  <si>
    <t>HONOKAA</t>
  </si>
  <si>
    <t>KANEOHE</t>
  </si>
  <si>
    <t>PEARL CITY</t>
  </si>
  <si>
    <t>WAIANAE</t>
  </si>
  <si>
    <t>KAPOLEI</t>
  </si>
  <si>
    <t>KAILUA KONA</t>
  </si>
  <si>
    <t>WAILUKU</t>
  </si>
  <si>
    <t>EWA BEACH</t>
  </si>
  <si>
    <t>KOLOA</t>
  </si>
  <si>
    <t>BARRIGADA</t>
  </si>
  <si>
    <t>Hawaii</t>
  </si>
  <si>
    <t>Maui</t>
  </si>
  <si>
    <t>Kauai</t>
  </si>
  <si>
    <t>Honolulu</t>
  </si>
  <si>
    <t>Guam</t>
  </si>
  <si>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</si>
  <si>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</si>
  <si>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</si>
  <si>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</si>
  <si>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</si>
  <si>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</si>
  <si>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</si>
  <si>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</si>
  <si>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</si>
  <si>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</si>
  <si>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</si>
  <si>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</si>
  <si>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</si>
  <si>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</si>
  <si>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</si>
  <si>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</si>
  <si>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</si>
  <si>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</si>
  <si>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</si>
  <si>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</si>
  <si>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</si>
  <si>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</si>
  <si>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</si>
  <si>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</si>
  <si>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</si>
  <si>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</si>
  <si>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</si>
  <si>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</si>
  <si>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</si>
  <si>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</si>
  <si>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</si>
  <si>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</si>
  <si>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</si>
  <si>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</si>
  <si>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</si>
  <si>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</si>
  <si>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</si>
  <si>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</si>
  <si>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</si>
  <si>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</si>
  <si>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</si>
  <si>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</si>
  <si>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</si>
  <si>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</si>
  <si>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</si>
  <si>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</si>
  <si>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</si>
  <si>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</si>
  <si>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</si>
  <si>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</si>
  <si>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</si>
  <si>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</si>
  <si>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</si>
  <si>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</si>
  <si>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</si>
  <si>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</si>
  <si>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</si>
  <si>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</si>
  <si>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</si>
  <si>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</si>
  <si>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</si>
  <si>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</si>
  <si>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</si>
  <si>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</si>
  <si>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</si>
  <si>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</si>
  <si>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</si>
  <si>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</si>
  <si>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</si>
  <si>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</si>
  <si>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</si>
  <si>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</si>
  <si>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</si>
  <si>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</si>
  <si>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</si>
  <si>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</si>
  <si>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</si>
  <si>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</si>
  <si>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</si>
  <si>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</si>
  <si>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</si>
  <si>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</si>
  <si>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</si>
  <si>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</si>
  <si>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</si>
  <si>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</si>
  <si>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</si>
  <si>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</si>
  <si>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</si>
  <si>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</si>
  <si>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</si>
  <si>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</si>
  <si>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</si>
  <si>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</si>
  <si>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</si>
  <si>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</si>
  <si>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</si>
  <si>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</si>
  <si>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</si>
  <si>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</si>
  <si>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</si>
  <si>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</si>
  <si>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</si>
  <si>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</si>
  <si>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</si>
  <si>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</si>
  <si>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</si>
  <si>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</si>
  <si>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</si>
  <si>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</si>
  <si>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</si>
  <si>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</si>
  <si>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</si>
  <si>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Contract %</t>
  </si>
  <si>
    <t>State Total</t>
  </si>
  <si>
    <t>Combined CNA, NA TR, Med Aide/Tech</t>
  </si>
  <si>
    <t>Total Direct Care Staff Hours</t>
  </si>
  <si>
    <t>Total Direct Care Staffing</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</si>
  <si>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</si>
  <si>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</si>
  <si>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</si>
  <si>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</si>
  <si>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</si>
  <si>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</si>
  <si>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</si>
  <si>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</si>
  <si>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</si>
  <si>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</si>
  <si>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</si>
  <si>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</si>
  <si>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PA</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</si>
  <si>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</si>
  <si>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</si>
  <si>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</si>
  <si>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</si>
  <si>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</si>
  <si>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</si>
  <si>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</si>
  <si>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</si>
  <si>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</si>
  <si>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</si>
  <si>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</si>
  <si>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</si>
  <si>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</si>
  <si>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</si>
  <si>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</si>
  <si>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</si>
  <si>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</si>
  <si>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</si>
  <si>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</si>
  <si>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</si>
  <si>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</si>
  <si>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RN HPRD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</si>
</sst>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cellXfs>
  <cellStyles count="3">
    <cellStyle name="Normal" xfId="0" builtinId="0"/>
    <cellStyle name="Normal 2 2" xfId="1" xr:uid="{952B52B9-4FE2-47DC-AB61-CD1941C163DC}"/>
    <cellStyle name="Normal 4" xfId="2" xr:uid="{9C2EC031-98F8-4804-98A7-7A9C0B276BFF}"/>
  </cellStyles>
  <dxfs count="119">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3829.0395555555547</c:v>
                </c:pt>
                <c:pt idx="1">
                  <c:v>833.84511111111124</c:v>
                </c:pt>
                <c:pt idx="2">
                  <c:v>184.00322222222221</c:v>
                </c:pt>
                <c:pt idx="3">
                  <c:v>1028.0741111111113</c:v>
                </c:pt>
                <c:pt idx="4">
                  <c:v>50.471000000000004</c:v>
                </c:pt>
                <c:pt idx="5">
                  <c:v>8407.2314444444437</c:v>
                </c:pt>
                <c:pt idx="6">
                  <c:v>308.85988888888886</c:v>
                </c:pt>
                <c:pt idx="7">
                  <c:v>7.4808888888888871</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5.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25400</xdr:colOff>
      <xdr:row>0</xdr:row>
      <xdr:rowOff>79374</xdr:rowOff>
    </xdr:from>
    <xdr:to>
      <xdr:col>1</xdr:col>
      <xdr:colOff>1705770</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139700</xdr:rowOff>
    </xdr:from>
    <xdr:to>
      <xdr:col>1</xdr:col>
      <xdr:colOff>1726406</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9</xdr:col>
      <xdr:colOff>486001</xdr:colOff>
      <xdr:row>1</xdr:row>
      <xdr:rowOff>47172</xdr:rowOff>
    </xdr:from>
    <xdr:to>
      <xdr:col>18</xdr:col>
      <xdr:colOff>1588861</xdr:colOff>
      <xdr:row>38</xdr:row>
      <xdr:rowOff>176893</xdr:rowOff>
    </xdr:to>
    <xdr:sp macro="" textlink="">
      <xdr:nvSpPr>
        <xdr:cNvPr id="5" name="TextBox 4">
          <a:extLst>
            <a:ext uri="{FF2B5EF4-FFF2-40B4-BE49-F238E27FC236}">
              <a16:creationId xmlns:a16="http://schemas.microsoft.com/office/drawing/2014/main" id="{65C143F6-28E6-427E-ACB8-23DB892DA2E2}"/>
            </a:ext>
          </a:extLst>
        </xdr:cNvPr>
        <xdr:cNvSpPr txBox="1"/>
      </xdr:nvSpPr>
      <xdr:spPr>
        <a:xfrm>
          <a:off x="10500858" y="251279"/>
          <a:ext cx="6736217" cy="785857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staff are included in "Total Nurse Staff"?</a:t>
          </a:r>
          <a:r>
            <a:rPr lang="en-US" sz="1100" b="0" i="0" u="none" strike="noStrike">
              <a:solidFill>
                <a:schemeClr val="dk1"/>
              </a:solidFill>
              <a:effectLst/>
              <a:latin typeface="+mn-lt"/>
              <a:ea typeface="+mn-ea"/>
              <a:cs typeface="+mn-cs"/>
            </a:rPr>
            <a:t> Total Nurse Staff hours combine hours from RNs (incl. Admin and DON), LPNs (incl. Admin), CNAs, Med Aide/Tech, and NA in Training. RN Staff HPRD includes RN Admin &amp; RN DON unless indicated otherwise.</a:t>
          </a:r>
        </a:p>
        <a:p>
          <a:br>
            <a:rPr lang="en-US" sz="1100" b="0" i="0" u="none" strike="noStrike">
              <a:solidFill>
                <a:schemeClr val="accent5">
                  <a:lumMod val="75000"/>
                </a:schemeClr>
              </a:solidFill>
              <a:effectLst/>
              <a:latin typeface="+mn-lt"/>
              <a:ea typeface="+mn-ea"/>
              <a:cs typeface="+mn-cs"/>
            </a:rPr>
          </a:br>
          <a:r>
            <a:rPr lang="en-US" sz="1100" b="1" i="0">
              <a:solidFill>
                <a:schemeClr val="accent5">
                  <a:lumMod val="75000"/>
                </a:schemeClr>
              </a:solidFill>
              <a:effectLst/>
              <a:latin typeface="+mn-lt"/>
              <a:ea typeface="+mn-ea"/>
              <a:cs typeface="+mn-cs"/>
            </a:rPr>
            <a:t>Note:</a:t>
          </a:r>
          <a:r>
            <a:rPr lang="en-US" sz="1100" b="1" i="1">
              <a:solidFill>
                <a:schemeClr val="accent5">
                  <a:lumMod val="75000"/>
                </a:schemeClr>
              </a:solidFill>
              <a:effectLst/>
              <a:latin typeface="+mn-lt"/>
              <a:ea typeface="+mn-ea"/>
              <a:cs typeface="+mn-cs"/>
            </a:rPr>
            <a:t> </a:t>
          </a:r>
          <a:r>
            <a:rPr lang="en-US" sz="1100" b="1" i="0">
              <a:solidFill>
                <a:schemeClr val="accent5">
                  <a:lumMod val="75000"/>
                </a:schemeClr>
              </a:solidFill>
              <a:effectLst/>
              <a:latin typeface="+mn-lt"/>
              <a:ea typeface="+mn-ea"/>
              <a:cs typeface="+mn-cs"/>
            </a:rPr>
            <a:t>Previous LTCCC staffing reports cited "Direct Care Staff HPRD," which excluded Admin &amp; DON, Med Aide/Tech, and NA in Training. To be consistent with CMS, LTCCC's Q1 2021 report cites "Total Nurse Staff HPRD,"</a:t>
          </a:r>
          <a:r>
            <a:rPr lang="en-US" sz="1100" b="1" i="0" baseline="0">
              <a:solidFill>
                <a:schemeClr val="accent5">
                  <a:lumMod val="75000"/>
                </a:schemeClr>
              </a:solidFill>
              <a:effectLst/>
              <a:latin typeface="+mn-lt"/>
              <a:ea typeface="+mn-ea"/>
              <a:cs typeface="+mn-cs"/>
            </a:rPr>
            <a:t> a more expansive metric that includes the </a:t>
          </a:r>
          <a:r>
            <a:rPr lang="en-US" sz="1100" b="1" i="0">
              <a:solidFill>
                <a:schemeClr val="accent5">
                  <a:lumMod val="75000"/>
                </a:schemeClr>
              </a:solidFill>
              <a:effectLst/>
              <a:latin typeface="+mn-lt"/>
              <a:ea typeface="+mn-ea"/>
              <a:cs typeface="+mn-cs"/>
            </a:rPr>
            <a:t>above</a:t>
          </a:r>
          <a:r>
            <a:rPr lang="en-US" sz="1100" b="1" i="0" baseline="0">
              <a:solidFill>
                <a:schemeClr val="accent5">
                  <a:lumMod val="75000"/>
                </a:schemeClr>
              </a:solidFill>
              <a:effectLst/>
              <a:latin typeface="+mn-lt"/>
              <a:ea typeface="+mn-ea"/>
              <a:cs typeface="+mn-cs"/>
            </a:rPr>
            <a:t> categories</a:t>
          </a:r>
          <a:r>
            <a:rPr lang="en-US" sz="1100" b="1" i="0">
              <a:solidFill>
                <a:schemeClr val="accent5">
                  <a:lumMod val="75000"/>
                </a:schemeClr>
              </a:solidFill>
              <a:effectLst/>
              <a:latin typeface="+mn-lt"/>
              <a:ea typeface="+mn-ea"/>
              <a:cs typeface="+mn-cs"/>
            </a:rPr>
            <a:t>. The additional categories account</a:t>
          </a:r>
          <a:r>
            <a:rPr lang="en-US" sz="1100" b="1" i="0" baseline="0">
              <a:solidFill>
                <a:schemeClr val="accent5">
                  <a:lumMod val="75000"/>
                </a:schemeClr>
              </a:solidFill>
              <a:effectLst/>
              <a:latin typeface="+mn-lt"/>
              <a:ea typeface="+mn-ea"/>
              <a:cs typeface="+mn-cs"/>
            </a:rPr>
            <a:t> for approximately 12% of all nurse staffing hours.</a:t>
          </a:r>
          <a:br>
            <a:rPr lang="en-US" sz="1100" b="1" i="0" u="none" strike="noStrike">
              <a:solidFill>
                <a:schemeClr val="accent5">
                  <a:lumMod val="75000"/>
                </a:schemeClr>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200" b="1" i="0">
              <a:solidFill>
                <a:srgbClr val="7030A0"/>
              </a:solidFill>
              <a:effectLst/>
              <a:latin typeface="+mn-lt"/>
              <a:ea typeface="+mn-ea"/>
              <a:cs typeface="+mn-cs"/>
            </a:rPr>
            <a:t>For LTCCC's full Q1 2021 staffing report, visit https://nursinghome411.org/staffing-q1-2021/.</a:t>
          </a:r>
          <a:br>
            <a:rPr lang="en-US" sz="1200" b="1" i="0">
              <a:solidFill>
                <a:srgbClr val="7030A0"/>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8006271" y="105595"/>
          <a:ext cx="6424103" cy="4305539"/>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136070</xdr:colOff>
      <xdr:row>0</xdr:row>
      <xdr:rowOff>193673</xdr:rowOff>
    </xdr:from>
    <xdr:to>
      <xdr:col>0</xdr:col>
      <xdr:colOff>6734854</xdr:colOff>
      <xdr:row>42</xdr:row>
      <xdr:rowOff>91280</xdr:rowOff>
    </xdr:to>
    <xdr:sp macro="" textlink="">
      <xdr:nvSpPr>
        <xdr:cNvPr id="3" name="TextBox 2">
          <a:extLst>
            <a:ext uri="{FF2B5EF4-FFF2-40B4-BE49-F238E27FC236}">
              <a16:creationId xmlns:a16="http://schemas.microsoft.com/office/drawing/2014/main" id="{3223C09F-BC88-4025-BCEB-EF97FB92BBFE}"/>
            </a:ext>
          </a:extLst>
        </xdr:cNvPr>
        <xdr:cNvSpPr txBox="1"/>
      </xdr:nvSpPr>
      <xdr:spPr>
        <a:xfrm>
          <a:off x="136070" y="193673"/>
          <a:ext cx="6598784" cy="866060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42" totalsRowShown="0" headerRowDxfId="118">
  <autoFilter ref="A1:AG42"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calculatedColumnFormula>Table3[[#This Row],[Total Hours Nurse Staffing]]/Table3[[#This Row],[MDS Census]]</calculatedColumnFormula>
    </tableColumn>
    <tableColumn id="33" xr3:uid="{C807ECCD-CA15-44F3-AC3A-AD9EA2495D7C}" name="Total Direct Care Staff HPRD" dataDxfId="115">
      <calculatedColumnFormula>Table3[[#This Row],[Total Direct Care Staff Hours]]/Table3[[#This Row],[MDS Census]]</calculatedColumnFormula>
    </tableColumn>
    <tableColumn id="31" xr3:uid="{A95C0F09-DE66-4354-94BD-61768990513C}" name="Total RN Staff HPRD" dataDxfId="114">
      <calculatedColumnFormula>Table3[[#This Row],[Total RN Hours (w/ Admin, DON)]]/Table3[[#This Row],[MDS Census]]</calculatedColumnFormula>
    </tableColumn>
    <tableColumn id="24" xr3:uid="{AD62524B-85AF-4ACF-847C-19C0C482DD70}" name="Total RN Care Staff HPRD (excl. Admin/DON)" dataDxfId="113">
      <calculatedColumnFormula>Table3[[#This Row],[RN Hours (excl. Admin, DON)]]/Table3[[#This Row],[MDS Census]]</calculatedColumnFormula>
    </tableColumn>
    <tableColumn id="29" xr3:uid="{6F76298A-C7D7-4BE0-8623-294427217C26}" name="Total Hours Nurse Staffing" dataDxfId="112">
      <calculatedColumnFormula>SUM(L2,P2,S2)</calculatedColumnFormula>
    </tableColumn>
    <tableColumn id="25" xr3:uid="{76D80A8A-3FC0-44DB-BD31-568A2D242B91}" name="Total Direct Care Staff Hours" dataDxfId="111">
      <calculatedColumnFormula>SUM(Table3[[#This Row],[RN Hours (excl. Admin, DON)]], Table3[[#This Row],[LPN Hours (excl. Admin)]], Table3[[#This Row],[CNA Hours]], Table3[[#This Row],[NA TR Hours]], Table3[[#This Row],[Med Aide/Tech Hours]])</calculatedColumnFormula>
    </tableColumn>
    <tableColumn id="23" xr3:uid="{756CB329-33D9-4F84-973A-006C4542D7BF}" name="Total RN Hours (w/ Admin, DON)" dataDxfId="110">
      <calculatedColumnFormula>SUM(Table3[[#This Row],[RN Hours (excl. Admin, DON)]:[RN DON Hours]])</calculatedColumnFormula>
    </tableColumn>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calculatedColumnFormula>SUM(Table3[[#This Row],[LPN Hours (excl. Admin)]:[LPN Admin Hours]])</calculatedColumnFormula>
    </tableColumn>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calculatedColumnFormula>SUM(Table3[[#This Row],[CNA Hours]], Table3[[#This Row],[NA TR Hours]], Table3[[#This Row],[Med Aide/Tech Hours]])</calculatedColumnFormula>
    </tableColumn>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calculatedColumnFormula>SUM(Table3[[#This Row],[RN Hours Contract]:[Med Aide Hours Contract]])</calculatedColumnFormula>
    </tableColumn>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42" totalsRowShown="0" headerRowDxfId="89">
  <autoFilter ref="A1:AQ42"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calculatedColumnFormula>SUM(I2,U2,AD2)</calculatedColumnFormula>
    </tableColumn>
    <tableColumn id="26" xr3:uid="{0D502EA3-8B73-4E53-B9C7-26F240A87575}" name="Total Contract Hours" dataDxfId="86">
      <calculatedColumnFormula>SUM(Table39[[#This Row],[RN Hours Contract (W/ Admin, DON)]], Table39[[#This Row],[LPN Contract Hours (w/ Admin)]], Table39[[#This Row],[CNA/NA/Med Aide Contract Hours]])</calculatedColumnFormula>
    </tableColumn>
    <tableColumn id="33" xr3:uid="{590BA50A-40A3-48BC-9110-88700F13FF18}" name="Percent Contract Hours" dataDxfId="85">
      <calculatedColumnFormula>Table39[[#This Row],[Total Contract Hours]]/Table39[[#This Row],[Total Hours Nurse Staffing]]</calculatedColumnFormula>
    </tableColumn>
    <tableColumn id="23" xr3:uid="{B02D4CD1-018F-4B81-BBA7-F799E34C453E}" name="RN Hours (w/ Admin, DON)" dataDxfId="84">
      <calculatedColumnFormula>SUM(Table39[[#This Row],[RN Hours]], Table39[[#This Row],[RN Admin Hours]], Table39[[#This Row],[RN DON Hours]])</calculatedColumnFormula>
    </tableColumn>
    <tableColumn id="50" xr3:uid="{D99951CB-6DDC-4FF6-9C20-A8D02896E17A}" name="RN Hours Contract (W/ Admin, DON)" dataDxfId="83">
      <calculatedColumnFormula>SUM(M2,P2,S2)</calculatedColumnFormula>
    </tableColumn>
    <tableColumn id="51" xr3:uid="{85A13AF0-E305-46CD-AD37-58866044F50E}" name="Percent RN Contract ALL" dataDxfId="82">
      <calculatedColumnFormula>Table39[[#This Row],[RN Hours Contract (W/ Admin, DON)]]/Table39[[#This Row],[RN Hours (w/ Admin, DON)]]</calculatedColumnFormula>
    </tableColumn>
    <tableColumn id="9" xr3:uid="{B35C4F8E-D214-49B0-B14C-4B9EA2C1EE29}" name="RN Hours" dataDxfId="81"/>
    <tableColumn id="10" xr3:uid="{E2B2F6C1-3AFE-405F-A4E7-C8B1CC2654A1}" name="RN Hours Contract" dataDxfId="80"/>
    <tableColumn id="49" xr3:uid="{91A29E08-E8F1-4A19-AED2-FF5AE1FB2C61}" name="Percent RN Contract" dataDxfId="79">
      <calculatedColumnFormula>Table39[[#This Row],[RN Hours Contract]]/Table39[[#This Row],[RN Hours]]</calculatedColumnFormula>
    </tableColumn>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calculatedColumnFormula>Table39[[#This Row],[RN Admin Hours Contract]]/Table39[[#This Row],[RN Admin Hours]]</calculatedColumnFormula>
    </tableColumn>
    <tableColumn id="7" xr3:uid="{BAC2970C-BDD1-462D-9123-25C541A0D5E0}" name="RN DON Hours" dataDxfId="75"/>
    <tableColumn id="22" xr3:uid="{3833517D-2316-4C62-A456-4293F1C02CAA}" name="RN DON Hours Contract" dataDxfId="74"/>
    <tableColumn id="47" xr3:uid="{ED3DE9AB-4398-4BF2-BD4F-8D0BCEA9F330}" name="Percent RN DON Contract" dataDxfId="73">
      <calculatedColumnFormula>Table39[[#This Row],[RN DON Hours Contract]]/Table39[[#This Row],[RN DON Hours]]</calculatedColumnFormula>
    </tableColumn>
    <tableColumn id="27" xr3:uid="{F06ED4A0-2FE2-4220-8A5F-09FEF2AAB9E6}" name="LPN Hours (w/ Admin)" dataDxfId="72">
      <calculatedColumnFormula>SUM(Table39[[#This Row],[LPN Hours]], Table39[[#This Row],[LPN Admin Hours]])</calculatedColumnFormula>
    </tableColumn>
    <tableColumn id="40" xr3:uid="{9979EEE7-5D52-4C36-A8E4-E87F776355E0}" name="LPN Contract Hours (w/ Admin)" dataDxfId="71">
      <calculatedColumnFormula>Table39[[#This Row],[LPN Hours Contract]]+Table39[[#This Row],[LPN Admin Hours Contract]]</calculatedColumnFormula>
    </tableColumn>
    <tableColumn id="41" xr3:uid="{BECB4C08-07E6-4C10-A68A-AA5BB7539817}" name="Percent LPN ALL Contract" dataDxfId="70">
      <calculatedColumnFormula>V2/U2</calculatedColumnFormula>
    </tableColumn>
    <tableColumn id="11" xr3:uid="{B950DE52-183E-4249-8EE7-C0BA1FE8EDE5}" name="LPN Hours" dataDxfId="69"/>
    <tableColumn id="12" xr3:uid="{1BCCBB0C-1923-4B6E-8C18-8E82CE184E85}" name="LPN Hours Contract" dataDxfId="68"/>
    <tableColumn id="39" xr3:uid="{B8E7B840-747D-4268-AB96-5E91F63E3295}" name="Percent LPN Only Contract" dataDxfId="67">
      <calculatedColumnFormula>Table39[[#This Row],[LPN Hours Contract]]/Table39[[#This Row],[LPN Hours]]</calculatedColumnFormula>
    </tableColumn>
    <tableColumn id="19" xr3:uid="{9C42E2E7-2F11-49A3-9624-EBA3F5361220}" name="LPN Admin Hours" dataDxfId="66"/>
    <tableColumn id="18" xr3:uid="{32DB0C07-27D1-4EC0-9115-4877B3539EAE}" name="LPN Admin Hours Contract" dataDxfId="65"/>
    <tableColumn id="38" xr3:uid="{7B1524E5-E42F-404F-9D4A-4FA34C41913F}" name="Percent LPN Admin Contract" dataDxfId="64">
      <calculatedColumnFormula>Table39[[#This Row],[LPN Admin Hours Contract]]/Table39[[#This Row],[LPN Admin Hours]]</calculatedColumnFormula>
    </tableColumn>
    <tableColumn id="28" xr3:uid="{D0E62840-DD37-4480-BE0C-9E835D873FD6}" name="Total CNA, NA in Training, Med Aide/Tech Hours" dataDxfId="63">
      <calculatedColumnFormula>SUM(Table39[[#This Row],[CNA Hours]], Table39[[#This Row],[NA in Training Hours]], Table39[[#This Row],[Med Aide/Tech Hours]])</calculatedColumnFormula>
    </tableColumn>
    <tableColumn id="42" xr3:uid="{EFE23B84-8ABE-490A-9ABD-5A9130793F53}" name="CNA/NA/Med Aide Contract Hours" dataDxfId="62">
      <calculatedColumnFormula>SUM(Table39[[#This Row],[CNA Hours Contract]], Table39[[#This Row],[NA in Training Hours Contract]], Table39[[#This Row],[Med Aide/Tech Hours Contract]])</calculatedColumnFormula>
    </tableColumn>
    <tableColumn id="37" xr3:uid="{157E4A30-0A42-49E6-A607-1EDF2966CC31}" name="Percent CNA/NA/Med Aide Contract" dataDxfId="61">
      <calculatedColumnFormula>Table39[[#This Row],[CNA/NA/Med Aide Contract Hours]]/Table39[[#This Row],[Total CNA, NA in Training, Med Aide/Tech Hours]]</calculatedColumnFormula>
    </tableColumn>
    <tableColumn id="13" xr3:uid="{18C3245F-B7D5-4358-AF85-6FB1BBDCAC07}" name="CNA Hours" dataDxfId="60"/>
    <tableColumn id="14" xr3:uid="{07B97013-452C-44AF-9AD8-FC02288C357A}" name="CNA Hours Contract" dataDxfId="59"/>
    <tableColumn id="36" xr3:uid="{CF02D1D7-82D8-4218-B6A7-7C578177669E}" name="Percent CNA Contract" dataDxfId="58">
      <calculatedColumnFormula>Table39[[#This Row],[CNA Hours Contract]]/Table39[[#This Row],[CNA Hours]]</calculatedColumnFormula>
    </tableColumn>
    <tableColumn id="15" xr3:uid="{FFE6A969-D693-4555-88AA-D3797B0501BA}" name="NA in Training Hours" dataDxfId="57"/>
    <tableColumn id="16" xr3:uid="{46A4EC38-DA1B-4C5E-9CEC-B3D221CBBAC0}" name="NA in Training Hours Contract" dataDxfId="56"/>
    <tableColumn id="35" xr3:uid="{0CE0981A-9E06-4B22-A744-51AE4F872F2D}" name="Percent NA in Training Contract" dataDxfId="55">
      <calculatedColumnFormula>Table39[[#This Row],[NA in Training Hours Contract]]/Table39[[#This Row],[NA in Training Hours]]</calculatedColumnFormula>
    </tableColumn>
    <tableColumn id="21" xr3:uid="{375DFFDF-2B62-4C86-900F-C4755CE38B1F}" name="Med Aide/Tech Hours" dataDxfId="54"/>
    <tableColumn id="17" xr3:uid="{17526C45-E9B6-4AAC-97AB-F1C395F72323}" name="Med Aide/Tech Hours Contract" dataDxfId="53"/>
    <tableColumn id="34" xr3:uid="{CB1688E2-9917-4F58-83D3-D9B2DA01F8FD}" name="Percent Med Aide/Tech Contract" dataDxfId="52">
      <calculatedColumnFormula>Table39[[#This Row],[Med Aide/Tech Hours Contract]]/Table39[[#This Row],[Med Aide/Tech Hours]]</calculatedColumnFormula>
    </tableColumn>
    <tableColumn id="2" xr3:uid="{10757BCE-E124-41A3-92B7-99EA227A050F}" name="Provider Number" dataDxfId="51"/>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42" totalsRowShown="0" headerRowDxfId="50">
  <autoFilter ref="A1:AI42"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49"/>
    <tableColumn id="7" xr3:uid="{D6BB8869-5DAE-4A06-B1A1-0BFA7C9CA5F7}" name="Admin Hours" dataDxfId="48"/>
    <tableColumn id="30" xr3:uid="{640DA1D9-EFC2-440B-9960-2B23A46C4053}" name="Medical Director Hours" dataDxfId="47"/>
    <tableColumn id="8" xr3:uid="{2B840D74-2E92-4BBB-BC87-81B31604C65D}" name="Pharmacist Hours" dataDxfId="46"/>
    <tableColumn id="10" xr3:uid="{0447F5DE-755A-4649-9B47-34DA90345B62}" name="Dietician Hours" dataDxfId="45"/>
    <tableColumn id="28" xr3:uid="{624A65DC-33A9-4162-BA51-5266B2D8BF13}" name="Physician Assistant Hours" dataDxfId="44"/>
    <tableColumn id="29" xr3:uid="{805E7444-5A74-481E-9252-44ADB03D2091}" name="Nurse Practictioner Hours" dataDxfId="43"/>
    <tableColumn id="20" xr3:uid="{04E53EED-CFE8-4BF6-A84C-FBCFA9F3D822}" name="Speech/Language Pathologist Hours" dataDxfId="42"/>
    <tableColumn id="17" xr3:uid="{D9B8FDA2-93C3-44A6-910A-056756CEFD9F}" name="Qualified Social Work Staff Hours" dataDxfId="41"/>
    <tableColumn id="15" xr3:uid="{F7B0519A-62CC-4060-B770-E364BBDBED9B}" name="Other Social Work Staff Hours" dataDxfId="40"/>
    <tableColumn id="34" xr3:uid="{D18CB644-8D21-4D5D-A419-759E1869D3C0}" name="Total Social Work HPRD" dataDxfId="39">
      <calculatedColumnFormula>SUM(Table2[[#This Row],[Qualified Social Work Staff Hours]:[Other Social Work Staff Hours]])/Table2[[#This Row],[MDS Census]]</calculatedColumnFormula>
    </tableColumn>
    <tableColumn id="18" xr3:uid="{621D9A7E-2988-442B-A9E8-5663A7488A26}" name="Qualified Activities Professional Hours" dataDxfId="38"/>
    <tableColumn id="16" xr3:uid="{E4C4A2C7-0F95-4650-ADF8-3C92A54C39AD}" name="Other Activities Professional Hours" dataDxfId="37"/>
    <tableColumn id="33" xr3:uid="{664F35D2-2D81-4ED5-9F7C-8A13A2BE96BD}" name="Combined Activities HPRD" dataDxfId="36">
      <calculatedColumnFormula>SUM(Table2[[#This Row],[Qualified Activities Professional Hours]:[Other Activities Professional Hours]])/Table2[[#This Row],[MDS Census]]</calculatedColumnFormula>
    </tableColumn>
    <tableColumn id="12" xr3:uid="{263E9C5E-8FF7-4F73-8F52-5E8DB1BBC4DD}" name="Occupational Therapist Hours" dataDxfId="35"/>
    <tableColumn id="13" xr3:uid="{9E68089E-EDA2-466D-ADE5-9FCFB07B3EA5}" name="OT Assistant Hours" dataDxfId="34"/>
    <tableColumn id="22" xr3:uid="{902D76C7-AFE6-4733-B53D-A02B86FF4001}" name="OT Aide Hours" dataDxfId="33"/>
    <tableColumn id="35" xr3:uid="{A024FD52-882C-4C0C-A564-724A0E862380}" name="OT HPRD (incl. Assistant &amp; Aide)" dataDxfId="32">
      <calculatedColumnFormula>SUM(Table2[[#This Row],[Occupational Therapist Hours]:[OT Aide Hours]])/Table2[[#This Row],[MDS Census]]</calculatedColumnFormula>
    </tableColumn>
    <tableColumn id="23" xr3:uid="{C9A90AA3-7EDE-4DF1-9D18-43394111EF94}" name="Physical Therapist (PT) Hours" dataDxfId="31"/>
    <tableColumn id="24" xr3:uid="{23ABF890-A0D3-4D5C-8643-2B10738FAAC4}" name="PT Assistant Hours" dataDxfId="30"/>
    <tableColumn id="25" xr3:uid="{3037F839-B242-4ECB-8BD9-E2AAC1ACB427}" name="PT Aide Hours" dataDxfId="29"/>
    <tableColumn id="36" xr3:uid="{C80073E2-A5FF-4B53-A423-37429F8CD824}" name="PT HPRD (incl. Assistant &amp; Aide)" dataDxfId="28">
      <calculatedColumnFormula>SUM(Table2[[#This Row],[Physical Therapist (PT) Hours]:[PT Aide Hours]])/Table2[[#This Row],[MDS Census]]</calculatedColumnFormula>
    </tableColumn>
    <tableColumn id="14" xr3:uid="{86581BD0-C783-4EBA-8CAF-438FA0EC56A2}" name="Mental Health Service Worker Hours" dataDxfId="27"/>
    <tableColumn id="21" xr3:uid="{48B058D5-EF5B-4FD1-9D0E-C53B14906DB7}" name="Therapeutic Recreation Specialist" dataDxfId="26"/>
    <tableColumn id="9" xr3:uid="{CBB25F5F-4EA4-46CB-901E-C3EEF9CF155E}" name="Clinical Nurse Specialist Hours" dataDxfId="25"/>
    <tableColumn id="11" xr3:uid="{5360BF40-71F0-4504-B6C1-B90BB1DB7B1A}" name="Feeding Assistant Hours" dataDxfId="24"/>
    <tableColumn id="26" xr3:uid="{36846341-75B3-4156-84D0-789269AE6E2E}" name="Respiratory Therapy Technician Hours" dataDxfId="23"/>
    <tableColumn id="27" xr3:uid="{A22205CE-B325-46C9-8D59-515A3EC09B62}" name="Respiratory Therapist Hours" dataDxfId="22"/>
    <tableColumn id="31" xr3:uid="{ADCEE907-E18E-441F-AE91-D008BE89AFD9}" name="Other Physician Hours" dataDxfId="21"/>
    <tableColumn id="2" xr3:uid="{4856001E-0ECE-47A2-84B5-E71E0673BA66}" name="Provider Number" dataDxfId="20"/>
    <tableColumn id="32" xr3:uid="{EAFCCBB7-A320-4F54-9826-8B5BD3A768CF}" name="Region Number" dataDxfId="19"/>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8" dataDxfId="17" tableBorderDxfId="16">
  <autoFilter ref="B2:C7" xr:uid="{1ED771D8-DBF2-4B5C-9F7D-A59FBB047463}"/>
  <tableColumns count="2">
    <tableColumn id="1" xr3:uid="{C48EEB28-AEA0-44C2-A207-A1C3BC6BE8A9}" name="State" dataDxfId="15"/>
    <tableColumn id="2" xr3:uid="{155D7A67-C610-435A-8E87-D26DDA10B607}" name="Average" dataDxfId="14"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3" dataDxfId="12">
  <autoFilter ref="F2:I15" xr:uid="{565E5F01-F55D-4423-8221-FE9537902289}"/>
  <tableColumns count="4">
    <tableColumn id="1" xr3:uid="{C6D51445-7A0D-4791-B84E-B5449F87A69D}" name="Staffing Category" dataDxfId="11"/>
    <tableColumn id="2" xr3:uid="{AF4AE62F-8BF2-4900-B967-B70C6E269591}" name="State Total" dataDxfId="10"/>
    <tableColumn id="3" xr3:uid="{0A3B9502-B25C-4004-BD6B-75049F63ECD6}" name="Percentage of Total" dataDxfId="9">
      <calculatedColumnFormula>Table30[[#This Row],[State Total]]/G1</calculatedColumnFormula>
    </tableColumn>
    <tableColumn id="4" xr3:uid="{59FECD1F-9FDC-43CA-A744-CFC4B6372A0A}" name="HPRD" dataDxfId="8">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8" totalsRowShown="0" headerRowDxfId="7" dataDxfId="6">
  <autoFilter ref="F18:G28" xr:uid="{611C2622-9CCC-48CE-821F-F51D1E505E95}"/>
  <tableColumns count="2">
    <tableColumn id="1" xr3:uid="{AD214111-7A4C-4C91-9E95-37D8C1B3DAE7}" name="Contract Hours" dataDxfId="5"/>
    <tableColumn id="2" xr3:uid="{C83DFDBA-9027-4E10-96A9-5BAFC796767D}" name="State Total" dataDxfId="4"/>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2:G36" totalsRowShown="0" headerRowDxfId="3" dataDxfId="2">
  <autoFilter ref="F32:G36" xr:uid="{03106FE6-CCEA-42AA-9F14-64FFC94AC8E0}"/>
  <tableColumns count="2">
    <tableColumn id="1" xr3:uid="{175A2CC1-8D4F-4462-AB4F-C1E2392DCA19}" name="Staffing Category" dataDxfId="1"/>
    <tableColumn id="4" xr3:uid="{5629E345-4C3E-45BD-84A7-A11A6B77424F}"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44"/>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8.66406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106</v>
      </c>
      <c r="B1" s="5" t="s">
        <v>108</v>
      </c>
      <c r="C1" s="5" t="s">
        <v>124</v>
      </c>
      <c r="D1" s="5" t="s">
        <v>109</v>
      </c>
      <c r="E1" s="5" t="s">
        <v>110</v>
      </c>
      <c r="F1" s="5" t="s">
        <v>133</v>
      </c>
      <c r="G1" s="5" t="s">
        <v>255</v>
      </c>
      <c r="H1" s="5" t="s">
        <v>256</v>
      </c>
      <c r="I1" s="5" t="s">
        <v>257</v>
      </c>
      <c r="J1" s="5" t="s">
        <v>125</v>
      </c>
      <c r="K1" s="5" t="s">
        <v>222</v>
      </c>
      <c r="L1" s="5" t="s">
        <v>196</v>
      </c>
      <c r="M1" s="5" t="s">
        <v>193</v>
      </c>
      <c r="N1" s="5" t="s">
        <v>114</v>
      </c>
      <c r="O1" s="5" t="s">
        <v>115</v>
      </c>
      <c r="P1" s="5" t="s">
        <v>197</v>
      </c>
      <c r="Q1" s="5" t="s">
        <v>194</v>
      </c>
      <c r="R1" s="5" t="s">
        <v>128</v>
      </c>
      <c r="S1" s="5" t="s">
        <v>195</v>
      </c>
      <c r="T1" s="5" t="s">
        <v>113</v>
      </c>
      <c r="U1" s="5" t="s">
        <v>189</v>
      </c>
      <c r="V1" s="5" t="s">
        <v>129</v>
      </c>
      <c r="W1" s="5" t="s">
        <v>132</v>
      </c>
      <c r="X1" s="5" t="s">
        <v>116</v>
      </c>
      <c r="Y1" s="5" t="s">
        <v>149</v>
      </c>
      <c r="Z1" s="5" t="s">
        <v>147</v>
      </c>
      <c r="AA1" s="5" t="s">
        <v>117</v>
      </c>
      <c r="AB1" s="5" t="s">
        <v>148</v>
      </c>
      <c r="AC1" s="5" t="s">
        <v>118</v>
      </c>
      <c r="AD1" s="5" t="s">
        <v>190</v>
      </c>
      <c r="AE1" s="5" t="s">
        <v>150</v>
      </c>
      <c r="AF1" s="5" t="s">
        <v>107</v>
      </c>
      <c r="AG1" s="5" t="s">
        <v>151</v>
      </c>
    </row>
    <row r="2" spans="1:43" x14ac:dyDescent="0.2">
      <c r="A2" t="s">
        <v>41</v>
      </c>
      <c r="B2" t="s">
        <v>42</v>
      </c>
      <c r="C2" t="s">
        <v>83</v>
      </c>
      <c r="D2" t="s">
        <v>101</v>
      </c>
      <c r="E2" s="3">
        <v>29.622222222222224</v>
      </c>
      <c r="F2" s="3">
        <f>Table3[[#This Row],[Total Hours Nurse Staffing]]/Table3[[#This Row],[MDS Census]]</f>
        <v>6.2122468117029248</v>
      </c>
      <c r="G2" s="3">
        <f>Table3[[#This Row],[Total Direct Care Staff Hours]]/Table3[[#This Row],[MDS Census]]</f>
        <v>6.0367029257314329</v>
      </c>
      <c r="H2" s="3">
        <f>Table3[[#This Row],[Total RN Hours (w/ Admin, DON)]]/Table3[[#This Row],[MDS Census]]</f>
        <v>1.6011440360090023</v>
      </c>
      <c r="I2" s="3">
        <f>Table3[[#This Row],[RN Hours (excl. Admin, DON)]]/Table3[[#This Row],[MDS Census]]</f>
        <v>1.4256001500375093</v>
      </c>
      <c r="J2" s="3">
        <f t="shared" ref="J2:J42" si="0">SUM(L2,P2,S2)</f>
        <v>184.02055555555555</v>
      </c>
      <c r="K2" s="3">
        <f>SUM(Table3[[#This Row],[RN Hours (excl. Admin, DON)]], Table3[[#This Row],[LPN Hours (excl. Admin)]], Table3[[#This Row],[CNA Hours]], Table3[[#This Row],[NA TR Hours]], Table3[[#This Row],[Med Aide/Tech Hours]])</f>
        <v>178.82055555555556</v>
      </c>
      <c r="L2" s="3">
        <f>SUM(Table3[[#This Row],[RN Hours (excl. Admin, DON)]:[RN DON Hours]])</f>
        <v>47.429444444444449</v>
      </c>
      <c r="M2" s="3">
        <v>42.229444444444447</v>
      </c>
      <c r="N2" s="3">
        <v>0</v>
      </c>
      <c r="O2" s="3">
        <v>5.2</v>
      </c>
      <c r="P2" s="3">
        <f>SUM(Table3[[#This Row],[LPN Hours (excl. Admin)]:[LPN Admin Hours]])</f>
        <v>33.686666666666667</v>
      </c>
      <c r="Q2" s="3">
        <v>33.686666666666667</v>
      </c>
      <c r="R2" s="3">
        <v>0</v>
      </c>
      <c r="S2" s="3">
        <f>SUM(Table3[[#This Row],[CNA Hours]], Table3[[#This Row],[NA TR Hours]], Table3[[#This Row],[Med Aide/Tech Hours]])</f>
        <v>102.90444444444444</v>
      </c>
      <c r="T2" s="3">
        <v>102.90444444444444</v>
      </c>
      <c r="U2" s="3">
        <v>0</v>
      </c>
      <c r="V2" s="3">
        <v>0</v>
      </c>
      <c r="W2" s="3">
        <f>SUM(Table3[[#This Row],[RN Hours Contract]:[Med Aide Hours Contract]])</f>
        <v>0</v>
      </c>
      <c r="X2" s="3">
        <v>0</v>
      </c>
      <c r="Y2" s="3">
        <v>0</v>
      </c>
      <c r="Z2" s="3">
        <v>0</v>
      </c>
      <c r="AA2" s="3">
        <v>0</v>
      </c>
      <c r="AB2" s="3">
        <v>0</v>
      </c>
      <c r="AC2" s="3">
        <v>0</v>
      </c>
      <c r="AD2" s="3">
        <v>0</v>
      </c>
      <c r="AE2" s="3">
        <v>0</v>
      </c>
      <c r="AF2" t="s">
        <v>0</v>
      </c>
      <c r="AG2" s="13">
        <v>9</v>
      </c>
      <c r="AQ2"/>
    </row>
    <row r="3" spans="1:43" x14ac:dyDescent="0.2">
      <c r="A3" t="s">
        <v>41</v>
      </c>
      <c r="B3" t="s">
        <v>43</v>
      </c>
      <c r="C3" t="s">
        <v>84</v>
      </c>
      <c r="D3" t="s">
        <v>102</v>
      </c>
      <c r="E3" s="3">
        <v>86.533333333333331</v>
      </c>
      <c r="F3" s="3">
        <f>Table3[[#This Row],[Total Hours Nurse Staffing]]/Table3[[#This Row],[MDS Census]]</f>
        <v>5.0875706214689265</v>
      </c>
      <c r="G3" s="3">
        <f>Table3[[#This Row],[Total Direct Care Staff Hours]]/Table3[[#This Row],[MDS Census]]</f>
        <v>4.6906779661016946</v>
      </c>
      <c r="H3" s="3">
        <f>Table3[[#This Row],[Total RN Hours (w/ Admin, DON)]]/Table3[[#This Row],[MDS Census]]</f>
        <v>1.6828454031843865</v>
      </c>
      <c r="I3" s="3">
        <f>Table3[[#This Row],[RN Hours (excl. Admin, DON)]]/Table3[[#This Row],[MDS Census]]</f>
        <v>1.3455315870570108</v>
      </c>
      <c r="J3" s="3">
        <f t="shared" si="0"/>
        <v>440.24444444444441</v>
      </c>
      <c r="K3" s="3">
        <f>SUM(Table3[[#This Row],[RN Hours (excl. Admin, DON)]], Table3[[#This Row],[LPN Hours (excl. Admin)]], Table3[[#This Row],[CNA Hours]], Table3[[#This Row],[NA TR Hours]], Table3[[#This Row],[Med Aide/Tech Hours]])</f>
        <v>405.9</v>
      </c>
      <c r="L3" s="3">
        <f>SUM(Table3[[#This Row],[RN Hours (excl. Admin, DON)]:[RN DON Hours]])</f>
        <v>145.62222222222223</v>
      </c>
      <c r="M3" s="3">
        <v>116.43333333333334</v>
      </c>
      <c r="N3" s="3">
        <v>19.744444444444444</v>
      </c>
      <c r="O3" s="3">
        <v>9.4444444444444446</v>
      </c>
      <c r="P3" s="3">
        <f>SUM(Table3[[#This Row],[LPN Hours (excl. Admin)]:[LPN Admin Hours]])</f>
        <v>9.0777777777777775</v>
      </c>
      <c r="Q3" s="3">
        <v>3.9222222222222221</v>
      </c>
      <c r="R3" s="3">
        <v>5.1555555555555559</v>
      </c>
      <c r="S3" s="3">
        <f>SUM(Table3[[#This Row],[CNA Hours]], Table3[[#This Row],[NA TR Hours]], Table3[[#This Row],[Med Aide/Tech Hours]])</f>
        <v>285.54444444444442</v>
      </c>
      <c r="T3" s="3">
        <v>280.27777777777777</v>
      </c>
      <c r="U3" s="3">
        <v>5.2666666666666666</v>
      </c>
      <c r="V3" s="3">
        <v>0</v>
      </c>
      <c r="W3" s="3">
        <f>SUM(Table3[[#This Row],[RN Hours Contract]:[Med Aide Hours Contract]])</f>
        <v>22.31111111111111</v>
      </c>
      <c r="X3" s="3">
        <v>9.5777777777777775</v>
      </c>
      <c r="Y3" s="3">
        <v>0</v>
      </c>
      <c r="Z3" s="3">
        <v>0</v>
      </c>
      <c r="AA3" s="3">
        <v>3.9222222222222221</v>
      </c>
      <c r="AB3" s="3">
        <v>0</v>
      </c>
      <c r="AC3" s="3">
        <v>8.8111111111111118</v>
      </c>
      <c r="AD3" s="3">
        <v>0</v>
      </c>
      <c r="AE3" s="3">
        <v>0</v>
      </c>
      <c r="AF3" t="s">
        <v>1</v>
      </c>
      <c r="AG3" s="13">
        <v>9</v>
      </c>
      <c r="AQ3"/>
    </row>
    <row r="4" spans="1:43" x14ac:dyDescent="0.2">
      <c r="A4" t="s">
        <v>41</v>
      </c>
      <c r="B4" t="s">
        <v>44</v>
      </c>
      <c r="C4" t="s">
        <v>85</v>
      </c>
      <c r="D4" t="s">
        <v>103</v>
      </c>
      <c r="E4" s="3">
        <v>88.066666666666663</v>
      </c>
      <c r="F4" s="3">
        <f>Table3[[#This Row],[Total Hours Nurse Staffing]]/Table3[[#This Row],[MDS Census]]</f>
        <v>4.2848952813525116</v>
      </c>
      <c r="G4" s="3">
        <f>Table3[[#This Row],[Total Direct Care Staff Hours]]/Table3[[#This Row],[MDS Census]]</f>
        <v>3.9441786525359577</v>
      </c>
      <c r="H4" s="3">
        <f>Table3[[#This Row],[Total RN Hours (w/ Admin, DON)]]/Table3[[#This Row],[MDS Census]]</f>
        <v>1.3627403482210447</v>
      </c>
      <c r="I4" s="3">
        <f>Table3[[#This Row],[RN Hours (excl. Admin, DON)]]/Table3[[#This Row],[MDS Census]]</f>
        <v>1.0220237194044917</v>
      </c>
      <c r="J4" s="3">
        <f t="shared" si="0"/>
        <v>377.35644444444449</v>
      </c>
      <c r="K4" s="3">
        <f>SUM(Table3[[#This Row],[RN Hours (excl. Admin, DON)]], Table3[[#This Row],[LPN Hours (excl. Admin)]], Table3[[#This Row],[CNA Hours]], Table3[[#This Row],[NA TR Hours]], Table3[[#This Row],[Med Aide/Tech Hours]])</f>
        <v>347.35066666666665</v>
      </c>
      <c r="L4" s="3">
        <f>SUM(Table3[[#This Row],[RN Hours (excl. Admin, DON)]:[RN DON Hours]])</f>
        <v>120.012</v>
      </c>
      <c r="M4" s="3">
        <v>90.00622222222222</v>
      </c>
      <c r="N4" s="3">
        <v>29.116888888888887</v>
      </c>
      <c r="O4" s="3">
        <v>0.88888888888888884</v>
      </c>
      <c r="P4" s="3">
        <f>SUM(Table3[[#This Row],[LPN Hours (excl. Admin)]:[LPN Admin Hours]])</f>
        <v>11.016666666666667</v>
      </c>
      <c r="Q4" s="3">
        <v>11.016666666666667</v>
      </c>
      <c r="R4" s="3">
        <v>0</v>
      </c>
      <c r="S4" s="3">
        <f>SUM(Table3[[#This Row],[CNA Hours]], Table3[[#This Row],[NA TR Hours]], Table3[[#This Row],[Med Aide/Tech Hours]])</f>
        <v>246.32777777777778</v>
      </c>
      <c r="T4" s="3">
        <v>244.20555555555555</v>
      </c>
      <c r="U4" s="3">
        <v>2.1222222222222222</v>
      </c>
      <c r="V4" s="3">
        <v>0</v>
      </c>
      <c r="W4" s="3">
        <f>SUM(Table3[[#This Row],[RN Hours Contract]:[Med Aide Hours Contract]])</f>
        <v>0</v>
      </c>
      <c r="X4" s="3">
        <v>0</v>
      </c>
      <c r="Y4" s="3">
        <v>0</v>
      </c>
      <c r="Z4" s="3">
        <v>0</v>
      </c>
      <c r="AA4" s="3">
        <v>0</v>
      </c>
      <c r="AB4" s="3">
        <v>0</v>
      </c>
      <c r="AC4" s="3">
        <v>0</v>
      </c>
      <c r="AD4" s="3">
        <v>0</v>
      </c>
      <c r="AE4" s="3">
        <v>0</v>
      </c>
      <c r="AF4" t="s">
        <v>2</v>
      </c>
      <c r="AG4" s="13">
        <v>9</v>
      </c>
      <c r="AQ4"/>
    </row>
    <row r="5" spans="1:43" x14ac:dyDescent="0.2">
      <c r="A5" t="s">
        <v>41</v>
      </c>
      <c r="B5" t="s">
        <v>45</v>
      </c>
      <c r="C5" t="s">
        <v>86</v>
      </c>
      <c r="D5" t="s">
        <v>102</v>
      </c>
      <c r="E5" s="3">
        <v>197.56666666666666</v>
      </c>
      <c r="F5" s="3">
        <f>Table3[[#This Row],[Total Hours Nurse Staffing]]/Table3[[#This Row],[MDS Census]]</f>
        <v>5.0862718632247903</v>
      </c>
      <c r="G5" s="3">
        <f>Table3[[#This Row],[Total Direct Care Staff Hours]]/Table3[[#This Row],[MDS Census]]</f>
        <v>4.6980625386648667</v>
      </c>
      <c r="H5" s="3">
        <f>Table3[[#This Row],[Total RN Hours (w/ Admin, DON)]]/Table3[[#This Row],[MDS Census]]</f>
        <v>1.4119284629660873</v>
      </c>
      <c r="I5" s="3">
        <f>Table3[[#This Row],[RN Hours (excl. Admin, DON)]]/Table3[[#This Row],[MDS Census]]</f>
        <v>1.0717901130420111</v>
      </c>
      <c r="J5" s="3">
        <f t="shared" si="0"/>
        <v>1004.8777777777777</v>
      </c>
      <c r="K5" s="3">
        <f>SUM(Table3[[#This Row],[RN Hours (excl. Admin, DON)]], Table3[[#This Row],[LPN Hours (excl. Admin)]], Table3[[#This Row],[CNA Hours]], Table3[[#This Row],[NA TR Hours]], Table3[[#This Row],[Med Aide/Tech Hours]])</f>
        <v>928.18055555555554</v>
      </c>
      <c r="L5" s="3">
        <f>SUM(Table3[[#This Row],[RN Hours (excl. Admin, DON)]:[RN DON Hours]])</f>
        <v>278.95</v>
      </c>
      <c r="M5" s="3">
        <v>211.75</v>
      </c>
      <c r="N5" s="3">
        <v>61.777777777777779</v>
      </c>
      <c r="O5" s="3">
        <v>5.4222222222222225</v>
      </c>
      <c r="P5" s="3">
        <f>SUM(Table3[[#This Row],[LPN Hours (excl. Admin)]:[LPN Admin Hours]])</f>
        <v>140.22222222222223</v>
      </c>
      <c r="Q5" s="3">
        <v>130.72499999999999</v>
      </c>
      <c r="R5" s="3">
        <v>9.4972222222222218</v>
      </c>
      <c r="S5" s="3">
        <f>SUM(Table3[[#This Row],[CNA Hours]], Table3[[#This Row],[NA TR Hours]], Table3[[#This Row],[Med Aide/Tech Hours]])</f>
        <v>585.70555555555552</v>
      </c>
      <c r="T5" s="3">
        <v>533.15</v>
      </c>
      <c r="U5" s="3">
        <v>52.555555555555557</v>
      </c>
      <c r="V5" s="3">
        <v>0</v>
      </c>
      <c r="W5" s="3">
        <f>SUM(Table3[[#This Row],[RN Hours Contract]:[Med Aide Hours Contract]])</f>
        <v>8.3083333333333336</v>
      </c>
      <c r="X5" s="3">
        <v>0</v>
      </c>
      <c r="Y5" s="3">
        <v>0</v>
      </c>
      <c r="Z5" s="3">
        <v>0</v>
      </c>
      <c r="AA5" s="3">
        <v>8.3083333333333336</v>
      </c>
      <c r="AB5" s="3">
        <v>0</v>
      </c>
      <c r="AC5" s="3">
        <v>0</v>
      </c>
      <c r="AD5" s="3">
        <v>0</v>
      </c>
      <c r="AE5" s="3">
        <v>0</v>
      </c>
      <c r="AF5" t="s">
        <v>3</v>
      </c>
      <c r="AG5" s="13">
        <v>9</v>
      </c>
      <c r="AQ5"/>
    </row>
    <row r="6" spans="1:43" x14ac:dyDescent="0.2">
      <c r="A6" t="s">
        <v>41</v>
      </c>
      <c r="B6" t="s">
        <v>46</v>
      </c>
      <c r="C6" t="s">
        <v>87</v>
      </c>
      <c r="D6" t="s">
        <v>104</v>
      </c>
      <c r="E6" s="3">
        <v>83.5</v>
      </c>
      <c r="F6" s="3">
        <f>Table3[[#This Row],[Total Hours Nurse Staffing]]/Table3[[#This Row],[MDS Census]]</f>
        <v>4.4977245508982033</v>
      </c>
      <c r="G6" s="3">
        <f>Table3[[#This Row],[Total Direct Care Staff Hours]]/Table3[[#This Row],[MDS Census]]</f>
        <v>4.252135728542914</v>
      </c>
      <c r="H6" s="3">
        <f>Table3[[#This Row],[Total RN Hours (w/ Admin, DON)]]/Table3[[#This Row],[MDS Census]]</f>
        <v>1.708157019294744</v>
      </c>
      <c r="I6" s="3">
        <f>Table3[[#This Row],[RN Hours (excl. Admin, DON)]]/Table3[[#This Row],[MDS Census]]</f>
        <v>1.4625681969394544</v>
      </c>
      <c r="J6" s="3">
        <f t="shared" si="0"/>
        <v>375.56</v>
      </c>
      <c r="K6" s="3">
        <f>SUM(Table3[[#This Row],[RN Hours (excl. Admin, DON)]], Table3[[#This Row],[LPN Hours (excl. Admin)]], Table3[[#This Row],[CNA Hours]], Table3[[#This Row],[NA TR Hours]], Table3[[#This Row],[Med Aide/Tech Hours]])</f>
        <v>355.05333333333328</v>
      </c>
      <c r="L6" s="3">
        <f>SUM(Table3[[#This Row],[RN Hours (excl. Admin, DON)]:[RN DON Hours]])</f>
        <v>142.63111111111112</v>
      </c>
      <c r="M6" s="3">
        <v>122.12444444444445</v>
      </c>
      <c r="N6" s="3">
        <v>15.351111111111111</v>
      </c>
      <c r="O6" s="3">
        <v>5.1555555555555559</v>
      </c>
      <c r="P6" s="3">
        <f>SUM(Table3[[#This Row],[LPN Hours (excl. Admin)]:[LPN Admin Hours]])</f>
        <v>9.6166666666666671</v>
      </c>
      <c r="Q6" s="3">
        <v>9.6166666666666671</v>
      </c>
      <c r="R6" s="3">
        <v>0</v>
      </c>
      <c r="S6" s="3">
        <f>SUM(Table3[[#This Row],[CNA Hours]], Table3[[#This Row],[NA TR Hours]], Table3[[#This Row],[Med Aide/Tech Hours]])</f>
        <v>223.3122222222222</v>
      </c>
      <c r="T6" s="3">
        <v>223.3122222222222</v>
      </c>
      <c r="U6" s="3">
        <v>0</v>
      </c>
      <c r="V6" s="3">
        <v>0</v>
      </c>
      <c r="W6" s="3">
        <f>SUM(Table3[[#This Row],[RN Hours Contract]:[Med Aide Hours Contract]])</f>
        <v>0</v>
      </c>
      <c r="X6" s="3">
        <v>0</v>
      </c>
      <c r="Y6" s="3">
        <v>0</v>
      </c>
      <c r="Z6" s="3">
        <v>0</v>
      </c>
      <c r="AA6" s="3">
        <v>0</v>
      </c>
      <c r="AB6" s="3">
        <v>0</v>
      </c>
      <c r="AC6" s="3">
        <v>0</v>
      </c>
      <c r="AD6" s="3">
        <v>0</v>
      </c>
      <c r="AE6" s="3">
        <v>0</v>
      </c>
      <c r="AF6" t="s">
        <v>4</v>
      </c>
      <c r="AG6" s="13">
        <v>9</v>
      </c>
      <c r="AQ6"/>
    </row>
    <row r="7" spans="1:43" x14ac:dyDescent="0.2">
      <c r="A7" t="s">
        <v>41</v>
      </c>
      <c r="B7" t="s">
        <v>47</v>
      </c>
      <c r="C7" t="s">
        <v>87</v>
      </c>
      <c r="D7" t="s">
        <v>104</v>
      </c>
      <c r="E7" s="3">
        <v>93.088888888888889</v>
      </c>
      <c r="F7" s="3">
        <f>Table3[[#This Row],[Total Hours Nurse Staffing]]/Table3[[#This Row],[MDS Census]]</f>
        <v>5.1721950346144663</v>
      </c>
      <c r="G7" s="3">
        <f>Table3[[#This Row],[Total Direct Care Staff Hours]]/Table3[[#This Row],[MDS Census]]</f>
        <v>4.851080210074004</v>
      </c>
      <c r="H7" s="3">
        <f>Table3[[#This Row],[Total RN Hours (w/ Admin, DON)]]/Table3[[#This Row],[MDS Census]]</f>
        <v>2.0766232991167342</v>
      </c>
      <c r="I7" s="3">
        <f>Table3[[#This Row],[RN Hours (excl. Admin, DON)]]/Table3[[#This Row],[MDS Census]]</f>
        <v>1.755508474576271</v>
      </c>
      <c r="J7" s="3">
        <f t="shared" si="0"/>
        <v>481.47388888888889</v>
      </c>
      <c r="K7" s="3">
        <f>SUM(Table3[[#This Row],[RN Hours (excl. Admin, DON)]], Table3[[#This Row],[LPN Hours (excl. Admin)]], Table3[[#This Row],[CNA Hours]], Table3[[#This Row],[NA TR Hours]], Table3[[#This Row],[Med Aide/Tech Hours]])</f>
        <v>451.58166666666671</v>
      </c>
      <c r="L7" s="3">
        <f>SUM(Table3[[#This Row],[RN Hours (excl. Admin, DON)]:[RN DON Hours]])</f>
        <v>193.31055555555554</v>
      </c>
      <c r="M7" s="3">
        <v>163.41833333333332</v>
      </c>
      <c r="N7" s="3">
        <v>26.603333333333335</v>
      </c>
      <c r="O7" s="3">
        <v>3.2888888888888888</v>
      </c>
      <c r="P7" s="3">
        <f>SUM(Table3[[#This Row],[LPN Hours (excl. Admin)]:[LPN Admin Hours]])</f>
        <v>5.0666666666666664</v>
      </c>
      <c r="Q7" s="3">
        <v>5.0666666666666664</v>
      </c>
      <c r="R7" s="3">
        <v>0</v>
      </c>
      <c r="S7" s="3">
        <f>SUM(Table3[[#This Row],[CNA Hours]], Table3[[#This Row],[NA TR Hours]], Table3[[#This Row],[Med Aide/Tech Hours]])</f>
        <v>283.09666666666669</v>
      </c>
      <c r="T7" s="3">
        <v>283.09666666666669</v>
      </c>
      <c r="U7" s="3">
        <v>0</v>
      </c>
      <c r="V7" s="3">
        <v>0</v>
      </c>
      <c r="W7" s="3">
        <f>SUM(Table3[[#This Row],[RN Hours Contract]:[Med Aide Hours Contract]])</f>
        <v>0</v>
      </c>
      <c r="X7" s="3">
        <v>0</v>
      </c>
      <c r="Y7" s="3">
        <v>0</v>
      </c>
      <c r="Z7" s="3">
        <v>0</v>
      </c>
      <c r="AA7" s="3">
        <v>0</v>
      </c>
      <c r="AB7" s="3">
        <v>0</v>
      </c>
      <c r="AC7" s="3">
        <v>0</v>
      </c>
      <c r="AD7" s="3">
        <v>0</v>
      </c>
      <c r="AE7" s="3">
        <v>0</v>
      </c>
      <c r="AF7" t="s">
        <v>5</v>
      </c>
      <c r="AG7" s="13">
        <v>9</v>
      </c>
      <c r="AQ7"/>
    </row>
    <row r="8" spans="1:43" x14ac:dyDescent="0.2">
      <c r="A8" t="s">
        <v>41</v>
      </c>
      <c r="B8" t="s">
        <v>48</v>
      </c>
      <c r="C8" t="s">
        <v>87</v>
      </c>
      <c r="D8" t="s">
        <v>104</v>
      </c>
      <c r="E8" s="3">
        <v>233.45555555555555</v>
      </c>
      <c r="F8" s="3">
        <f>Table3[[#This Row],[Total Hours Nurse Staffing]]/Table3[[#This Row],[MDS Census]]</f>
        <v>4.4907372328780166</v>
      </c>
      <c r="G8" s="3">
        <f>Table3[[#This Row],[Total Direct Care Staff Hours]]/Table3[[#This Row],[MDS Census]]</f>
        <v>4.0557469896720768</v>
      </c>
      <c r="H8" s="3">
        <f>Table3[[#This Row],[Total RN Hours (w/ Admin, DON)]]/Table3[[#This Row],[MDS Census]]</f>
        <v>1.4639307981533483</v>
      </c>
      <c r="I8" s="3">
        <f>Table3[[#This Row],[RN Hours (excl. Admin, DON)]]/Table3[[#This Row],[MDS Census]]</f>
        <v>1.0376793108371807</v>
      </c>
      <c r="J8" s="3">
        <f t="shared" si="0"/>
        <v>1048.3875555555555</v>
      </c>
      <c r="K8" s="3">
        <f>SUM(Table3[[#This Row],[RN Hours (excl. Admin, DON)]], Table3[[#This Row],[LPN Hours (excl. Admin)]], Table3[[#This Row],[CNA Hours]], Table3[[#This Row],[NA TR Hours]], Table3[[#This Row],[Med Aide/Tech Hours]])</f>
        <v>946.8366666666667</v>
      </c>
      <c r="L8" s="3">
        <f>SUM(Table3[[#This Row],[RN Hours (excl. Admin, DON)]:[RN DON Hours]])</f>
        <v>341.76277777777779</v>
      </c>
      <c r="M8" s="3">
        <v>242.25200000000001</v>
      </c>
      <c r="N8" s="3">
        <v>94.444111111111127</v>
      </c>
      <c r="O8" s="3">
        <v>5.0666666666666664</v>
      </c>
      <c r="P8" s="3">
        <f>SUM(Table3[[#This Row],[LPN Hours (excl. Admin)]:[LPN Admin Hours]])</f>
        <v>44.277999999999999</v>
      </c>
      <c r="Q8" s="3">
        <v>42.237888888888889</v>
      </c>
      <c r="R8" s="3">
        <v>2.0401111111111114</v>
      </c>
      <c r="S8" s="3">
        <f>SUM(Table3[[#This Row],[CNA Hours]], Table3[[#This Row],[NA TR Hours]], Table3[[#This Row],[Med Aide/Tech Hours]])</f>
        <v>662.34677777777779</v>
      </c>
      <c r="T8" s="3">
        <v>652.05766666666671</v>
      </c>
      <c r="U8" s="3">
        <v>10.289111111111112</v>
      </c>
      <c r="V8" s="3">
        <v>0</v>
      </c>
      <c r="W8" s="3">
        <f>SUM(Table3[[#This Row],[RN Hours Contract]:[Med Aide Hours Contract]])</f>
        <v>2.9565555555555552</v>
      </c>
      <c r="X8" s="3">
        <v>1.1111111111111112E-2</v>
      </c>
      <c r="Y8" s="3">
        <v>0</v>
      </c>
      <c r="Z8" s="3">
        <v>0</v>
      </c>
      <c r="AA8" s="3">
        <v>1.6476666666666666</v>
      </c>
      <c r="AB8" s="3">
        <v>0</v>
      </c>
      <c r="AC8" s="3">
        <v>1.2977777777777777</v>
      </c>
      <c r="AD8" s="3">
        <v>0</v>
      </c>
      <c r="AE8" s="3">
        <v>0</v>
      </c>
      <c r="AF8" t="s">
        <v>6</v>
      </c>
      <c r="AG8" s="13">
        <v>9</v>
      </c>
      <c r="AQ8"/>
    </row>
    <row r="9" spans="1:43" x14ac:dyDescent="0.2">
      <c r="A9" t="s">
        <v>41</v>
      </c>
      <c r="B9" t="s">
        <v>49</v>
      </c>
      <c r="C9" t="s">
        <v>87</v>
      </c>
      <c r="D9" t="s">
        <v>104</v>
      </c>
      <c r="E9" s="3">
        <v>87.144444444444446</v>
      </c>
      <c r="F9" s="3">
        <f>Table3[[#This Row],[Total Hours Nurse Staffing]]/Table3[[#This Row],[MDS Census]]</f>
        <v>5.3099897998214969</v>
      </c>
      <c r="G9" s="3">
        <f>Table3[[#This Row],[Total Direct Care Staff Hours]]/Table3[[#This Row],[MDS Census]]</f>
        <v>5.1855476220833863</v>
      </c>
      <c r="H9" s="3">
        <f>Table3[[#This Row],[Total RN Hours (w/ Admin, DON)]]/Table3[[#This Row],[MDS Census]]</f>
        <v>1.3840367206426112</v>
      </c>
      <c r="I9" s="3">
        <f>Table3[[#This Row],[RN Hours (excl. Admin, DON)]]/Table3[[#This Row],[MDS Census]]</f>
        <v>1.2595945429045008</v>
      </c>
      <c r="J9" s="3">
        <f t="shared" si="0"/>
        <v>462.73611111111114</v>
      </c>
      <c r="K9" s="3">
        <f>SUM(Table3[[#This Row],[RN Hours (excl. Admin, DON)]], Table3[[#This Row],[LPN Hours (excl. Admin)]], Table3[[#This Row],[CNA Hours]], Table3[[#This Row],[NA TR Hours]], Table3[[#This Row],[Med Aide/Tech Hours]])</f>
        <v>451.89166666666665</v>
      </c>
      <c r="L9" s="3">
        <f>SUM(Table3[[#This Row],[RN Hours (excl. Admin, DON)]:[RN DON Hours]])</f>
        <v>120.6111111111111</v>
      </c>
      <c r="M9" s="3">
        <v>109.76666666666667</v>
      </c>
      <c r="N9" s="3">
        <v>5.333333333333333</v>
      </c>
      <c r="O9" s="3">
        <v>5.5111111111111111</v>
      </c>
      <c r="P9" s="3">
        <f>SUM(Table3[[#This Row],[LPN Hours (excl. Admin)]:[LPN Admin Hours]])</f>
        <v>27.330555555555556</v>
      </c>
      <c r="Q9" s="3">
        <v>27.330555555555556</v>
      </c>
      <c r="R9" s="3">
        <v>0</v>
      </c>
      <c r="S9" s="3">
        <f>SUM(Table3[[#This Row],[CNA Hours]], Table3[[#This Row],[NA TR Hours]], Table3[[#This Row],[Med Aide/Tech Hours]])</f>
        <v>314.79444444444448</v>
      </c>
      <c r="T9" s="3">
        <v>246.06944444444446</v>
      </c>
      <c r="U9" s="3">
        <v>68.724999999999994</v>
      </c>
      <c r="V9" s="3">
        <v>0</v>
      </c>
      <c r="W9" s="3">
        <f>SUM(Table3[[#This Row],[RN Hours Contract]:[Med Aide Hours Contract]])</f>
        <v>8.0333333333333332</v>
      </c>
      <c r="X9" s="3">
        <v>0</v>
      </c>
      <c r="Y9" s="3">
        <v>0</v>
      </c>
      <c r="Z9" s="3">
        <v>0</v>
      </c>
      <c r="AA9" s="3">
        <v>0</v>
      </c>
      <c r="AB9" s="3">
        <v>0</v>
      </c>
      <c r="AC9" s="3">
        <v>8.0333333333333332</v>
      </c>
      <c r="AD9" s="3">
        <v>0</v>
      </c>
      <c r="AE9" s="3">
        <v>0</v>
      </c>
      <c r="AF9" t="s">
        <v>7</v>
      </c>
      <c r="AG9" s="13">
        <v>9</v>
      </c>
      <c r="AQ9"/>
    </row>
    <row r="10" spans="1:43" x14ac:dyDescent="0.2">
      <c r="A10" t="s">
        <v>41</v>
      </c>
      <c r="B10" t="s">
        <v>50</v>
      </c>
      <c r="C10" t="s">
        <v>87</v>
      </c>
      <c r="D10" t="s">
        <v>104</v>
      </c>
      <c r="E10" s="3">
        <v>69.788888888888891</v>
      </c>
      <c r="F10" s="3">
        <f>Table3[[#This Row],[Total Hours Nurse Staffing]]/Table3[[#This Row],[MDS Census]]</f>
        <v>6.0977806081834096</v>
      </c>
      <c r="G10" s="3">
        <f>Table3[[#This Row],[Total Direct Care Staff Hours]]/Table3[[#This Row],[MDS Census]]</f>
        <v>5.8153383219232602</v>
      </c>
      <c r="H10" s="3">
        <f>Table3[[#This Row],[Total RN Hours (w/ Admin, DON)]]/Table3[[#This Row],[MDS Census]]</f>
        <v>1.9109361566629519</v>
      </c>
      <c r="I10" s="3">
        <f>Table3[[#This Row],[RN Hours (excl. Admin, DON)]]/Table3[[#This Row],[MDS Census]]</f>
        <v>1.628493870402802</v>
      </c>
      <c r="J10" s="3">
        <f t="shared" si="0"/>
        <v>425.5573333333333</v>
      </c>
      <c r="K10" s="3">
        <f>SUM(Table3[[#This Row],[RN Hours (excl. Admin, DON)]], Table3[[#This Row],[LPN Hours (excl. Admin)]], Table3[[#This Row],[CNA Hours]], Table3[[#This Row],[NA TR Hours]], Table3[[#This Row],[Med Aide/Tech Hours]])</f>
        <v>405.846</v>
      </c>
      <c r="L10" s="3">
        <f>SUM(Table3[[#This Row],[RN Hours (excl. Admin, DON)]:[RN DON Hours]])</f>
        <v>133.36211111111112</v>
      </c>
      <c r="M10" s="3">
        <v>113.65077777777778</v>
      </c>
      <c r="N10" s="3">
        <v>14.628</v>
      </c>
      <c r="O10" s="3">
        <v>5.083333333333333</v>
      </c>
      <c r="P10" s="3">
        <f>SUM(Table3[[#This Row],[LPN Hours (excl. Admin)]:[LPN Admin Hours]])</f>
        <v>26.631</v>
      </c>
      <c r="Q10" s="3">
        <v>26.631</v>
      </c>
      <c r="R10" s="3">
        <v>0</v>
      </c>
      <c r="S10" s="3">
        <f>SUM(Table3[[#This Row],[CNA Hours]], Table3[[#This Row],[NA TR Hours]], Table3[[#This Row],[Med Aide/Tech Hours]])</f>
        <v>265.56422222222221</v>
      </c>
      <c r="T10" s="3">
        <v>265.56422222222221</v>
      </c>
      <c r="U10" s="3">
        <v>0</v>
      </c>
      <c r="V10" s="3">
        <v>0</v>
      </c>
      <c r="W10" s="3">
        <f>SUM(Table3[[#This Row],[RN Hours Contract]:[Med Aide Hours Contract]])</f>
        <v>5.0083333333333337</v>
      </c>
      <c r="X10" s="3">
        <v>0</v>
      </c>
      <c r="Y10" s="3">
        <v>0</v>
      </c>
      <c r="Z10" s="3">
        <v>0</v>
      </c>
      <c r="AA10" s="3">
        <v>0</v>
      </c>
      <c r="AB10" s="3">
        <v>0</v>
      </c>
      <c r="AC10" s="3">
        <v>5.0083333333333337</v>
      </c>
      <c r="AD10" s="3">
        <v>0</v>
      </c>
      <c r="AE10" s="3">
        <v>0</v>
      </c>
      <c r="AF10" t="s">
        <v>8</v>
      </c>
      <c r="AG10" s="13">
        <v>9</v>
      </c>
      <c r="AQ10"/>
    </row>
    <row r="11" spans="1:43" x14ac:dyDescent="0.2">
      <c r="A11" t="s">
        <v>41</v>
      </c>
      <c r="B11" t="s">
        <v>51</v>
      </c>
      <c r="C11" t="s">
        <v>88</v>
      </c>
      <c r="D11" t="s">
        <v>104</v>
      </c>
      <c r="E11" s="3">
        <v>94.522222222222226</v>
      </c>
      <c r="F11" s="3">
        <f>Table3[[#This Row],[Total Hours Nurse Staffing]]/Table3[[#This Row],[MDS Census]]</f>
        <v>4.4232690725285053</v>
      </c>
      <c r="G11" s="3">
        <f>Table3[[#This Row],[Total Direct Care Staff Hours]]/Table3[[#This Row],[MDS Census]]</f>
        <v>3.6773245562477954</v>
      </c>
      <c r="H11" s="3">
        <f>Table3[[#This Row],[Total RN Hours (w/ Admin, DON)]]/Table3[[#This Row],[MDS Census]]</f>
        <v>1.5146937815916304</v>
      </c>
      <c r="I11" s="3">
        <f>Table3[[#This Row],[RN Hours (excl. Admin, DON)]]/Table3[[#This Row],[MDS Census]]</f>
        <v>0.76874926531092047</v>
      </c>
      <c r="J11" s="3">
        <f t="shared" si="0"/>
        <v>418.09722222222217</v>
      </c>
      <c r="K11" s="3">
        <f>SUM(Table3[[#This Row],[RN Hours (excl. Admin, DON)]], Table3[[#This Row],[LPN Hours (excl. Admin)]], Table3[[#This Row],[CNA Hours]], Table3[[#This Row],[NA TR Hours]], Table3[[#This Row],[Med Aide/Tech Hours]])</f>
        <v>347.58888888888885</v>
      </c>
      <c r="L11" s="3">
        <f>SUM(Table3[[#This Row],[RN Hours (excl. Admin, DON)]:[RN DON Hours]])</f>
        <v>143.17222222222222</v>
      </c>
      <c r="M11" s="3">
        <v>72.663888888888891</v>
      </c>
      <c r="N11" s="3">
        <v>65.352777777777774</v>
      </c>
      <c r="O11" s="3">
        <v>5.1555555555555559</v>
      </c>
      <c r="P11" s="3">
        <f>SUM(Table3[[#This Row],[LPN Hours (excl. Admin)]:[LPN Admin Hours]])</f>
        <v>36.975000000000001</v>
      </c>
      <c r="Q11" s="3">
        <v>36.975000000000001</v>
      </c>
      <c r="R11" s="3">
        <v>0</v>
      </c>
      <c r="S11" s="3">
        <f>SUM(Table3[[#This Row],[CNA Hours]], Table3[[#This Row],[NA TR Hours]], Table3[[#This Row],[Med Aide/Tech Hours]])</f>
        <v>237.95</v>
      </c>
      <c r="T11" s="3">
        <v>237.95</v>
      </c>
      <c r="U11" s="3">
        <v>0</v>
      </c>
      <c r="V11" s="3">
        <v>0</v>
      </c>
      <c r="W11" s="3">
        <f>SUM(Table3[[#This Row],[RN Hours Contract]:[Med Aide Hours Contract]])</f>
        <v>13.155555555555555</v>
      </c>
      <c r="X11" s="3">
        <v>0</v>
      </c>
      <c r="Y11" s="3">
        <v>0</v>
      </c>
      <c r="Z11" s="3">
        <v>0</v>
      </c>
      <c r="AA11" s="3">
        <v>0</v>
      </c>
      <c r="AB11" s="3">
        <v>0</v>
      </c>
      <c r="AC11" s="3">
        <v>13.155555555555555</v>
      </c>
      <c r="AD11" s="3">
        <v>0</v>
      </c>
      <c r="AE11" s="3">
        <v>0</v>
      </c>
      <c r="AF11" t="s">
        <v>9</v>
      </c>
      <c r="AG11" s="13">
        <v>9</v>
      </c>
      <c r="AQ11"/>
    </row>
    <row r="12" spans="1:43" x14ac:dyDescent="0.2">
      <c r="A12" t="s">
        <v>41</v>
      </c>
      <c r="B12" t="s">
        <v>52</v>
      </c>
      <c r="C12" t="s">
        <v>87</v>
      </c>
      <c r="D12" t="s">
        <v>104</v>
      </c>
      <c r="E12" s="3">
        <v>148.4111111111111</v>
      </c>
      <c r="F12" s="3">
        <f>Table3[[#This Row],[Total Hours Nurse Staffing]]/Table3[[#This Row],[MDS Census]]</f>
        <v>4.6071947293553936</v>
      </c>
      <c r="G12" s="3">
        <f>Table3[[#This Row],[Total Direct Care Staff Hours]]/Table3[[#This Row],[MDS Census]]</f>
        <v>4.4989668338698818</v>
      </c>
      <c r="H12" s="3">
        <f>Table3[[#This Row],[Total RN Hours (w/ Admin, DON)]]/Table3[[#This Row],[MDS Census]]</f>
        <v>1.700636370442465</v>
      </c>
      <c r="I12" s="3">
        <f>Table3[[#This Row],[RN Hours (excl. Admin, DON)]]/Table3[[#This Row],[MDS Census]]</f>
        <v>1.6696788200943329</v>
      </c>
      <c r="J12" s="3">
        <f t="shared" si="0"/>
        <v>683.75888888888881</v>
      </c>
      <c r="K12" s="3">
        <f>SUM(Table3[[#This Row],[RN Hours (excl. Admin, DON)]], Table3[[#This Row],[LPN Hours (excl. Admin)]], Table3[[#This Row],[CNA Hours]], Table3[[#This Row],[NA TR Hours]], Table3[[#This Row],[Med Aide/Tech Hours]])</f>
        <v>667.69666666666672</v>
      </c>
      <c r="L12" s="3">
        <f>SUM(Table3[[#This Row],[RN Hours (excl. Admin, DON)]:[RN DON Hours]])</f>
        <v>252.39333333333335</v>
      </c>
      <c r="M12" s="3">
        <v>247.79888888888891</v>
      </c>
      <c r="N12" s="3">
        <v>0.88888888888888884</v>
      </c>
      <c r="O12" s="3">
        <v>3.7055555555555557</v>
      </c>
      <c r="P12" s="3">
        <f>SUM(Table3[[#This Row],[LPN Hours (excl. Admin)]:[LPN Admin Hours]])</f>
        <v>36.803333333333327</v>
      </c>
      <c r="Q12" s="3">
        <v>25.335555555555555</v>
      </c>
      <c r="R12" s="3">
        <v>11.467777777777776</v>
      </c>
      <c r="S12" s="3">
        <f>SUM(Table3[[#This Row],[CNA Hours]], Table3[[#This Row],[NA TR Hours]], Table3[[#This Row],[Med Aide/Tech Hours]])</f>
        <v>394.5622222222222</v>
      </c>
      <c r="T12" s="3">
        <v>394.5622222222222</v>
      </c>
      <c r="U12" s="3">
        <v>0</v>
      </c>
      <c r="V12" s="3">
        <v>0</v>
      </c>
      <c r="W12" s="3">
        <f>SUM(Table3[[#This Row],[RN Hours Contract]:[Med Aide Hours Contract]])</f>
        <v>73.992222222222196</v>
      </c>
      <c r="X12" s="3">
        <v>12.257777777777779</v>
      </c>
      <c r="Y12" s="3">
        <v>0</v>
      </c>
      <c r="Z12" s="3">
        <v>0</v>
      </c>
      <c r="AA12" s="3">
        <v>2.5</v>
      </c>
      <c r="AB12" s="3">
        <v>0</v>
      </c>
      <c r="AC12" s="3">
        <v>59.234444444444421</v>
      </c>
      <c r="AD12" s="3">
        <v>0</v>
      </c>
      <c r="AE12" s="3">
        <v>0</v>
      </c>
      <c r="AF12" t="s">
        <v>10</v>
      </c>
      <c r="AG12" s="13">
        <v>9</v>
      </c>
      <c r="AQ12"/>
    </row>
    <row r="13" spans="1:43" x14ac:dyDescent="0.2">
      <c r="A13" t="s">
        <v>41</v>
      </c>
      <c r="B13" t="s">
        <v>53</v>
      </c>
      <c r="C13" t="s">
        <v>87</v>
      </c>
      <c r="D13" t="s">
        <v>104</v>
      </c>
      <c r="E13" s="3">
        <v>90.977777777777774</v>
      </c>
      <c r="F13" s="3">
        <f>Table3[[#This Row],[Total Hours Nurse Staffing]]/Table3[[#This Row],[MDS Census]]</f>
        <v>4.15151929653151</v>
      </c>
      <c r="G13" s="3">
        <f>Table3[[#This Row],[Total Direct Care Staff Hours]]/Table3[[#This Row],[MDS Census]]</f>
        <v>3.7269247679531023</v>
      </c>
      <c r="H13" s="3">
        <f>Table3[[#This Row],[Total RN Hours (w/ Admin, DON)]]/Table3[[#This Row],[MDS Census]]</f>
        <v>1.6167830972154376</v>
      </c>
      <c r="I13" s="3">
        <f>Table3[[#This Row],[RN Hours (excl. Admin, DON)]]/Table3[[#This Row],[MDS Census]]</f>
        <v>1.1921885686370297</v>
      </c>
      <c r="J13" s="3">
        <f t="shared" si="0"/>
        <v>377.69600000000003</v>
      </c>
      <c r="K13" s="3">
        <f>SUM(Table3[[#This Row],[RN Hours (excl. Admin, DON)]], Table3[[#This Row],[LPN Hours (excl. Admin)]], Table3[[#This Row],[CNA Hours]], Table3[[#This Row],[NA TR Hours]], Table3[[#This Row],[Med Aide/Tech Hours]])</f>
        <v>339.06733333333335</v>
      </c>
      <c r="L13" s="3">
        <f>SUM(Table3[[#This Row],[RN Hours (excl. Admin, DON)]:[RN DON Hours]])</f>
        <v>147.09133333333335</v>
      </c>
      <c r="M13" s="3">
        <v>108.46266666666666</v>
      </c>
      <c r="N13" s="3">
        <v>33.650888888888893</v>
      </c>
      <c r="O13" s="3">
        <v>4.9777777777777779</v>
      </c>
      <c r="P13" s="3">
        <f>SUM(Table3[[#This Row],[LPN Hours (excl. Admin)]:[LPN Admin Hours]])</f>
        <v>6.2768888888888883</v>
      </c>
      <c r="Q13" s="3">
        <v>6.2768888888888883</v>
      </c>
      <c r="R13" s="3">
        <v>0</v>
      </c>
      <c r="S13" s="3">
        <f>SUM(Table3[[#This Row],[CNA Hours]], Table3[[#This Row],[NA TR Hours]], Table3[[#This Row],[Med Aide/Tech Hours]])</f>
        <v>224.32777777777778</v>
      </c>
      <c r="T13" s="3">
        <v>210.45155555555556</v>
      </c>
      <c r="U13" s="3">
        <v>13.876222222222227</v>
      </c>
      <c r="V13" s="3">
        <v>0</v>
      </c>
      <c r="W13" s="3">
        <f>SUM(Table3[[#This Row],[RN Hours Contract]:[Med Aide Hours Contract]])</f>
        <v>0.16666666666666666</v>
      </c>
      <c r="X13" s="3">
        <v>0.16666666666666666</v>
      </c>
      <c r="Y13" s="3">
        <v>0</v>
      </c>
      <c r="Z13" s="3">
        <v>0</v>
      </c>
      <c r="AA13" s="3">
        <v>0</v>
      </c>
      <c r="AB13" s="3">
        <v>0</v>
      </c>
      <c r="AC13" s="3">
        <v>0</v>
      </c>
      <c r="AD13" s="3">
        <v>0</v>
      </c>
      <c r="AE13" s="3">
        <v>0</v>
      </c>
      <c r="AF13" t="s">
        <v>11</v>
      </c>
      <c r="AG13" s="13">
        <v>9</v>
      </c>
      <c r="AQ13"/>
    </row>
    <row r="14" spans="1:43" x14ac:dyDescent="0.2">
      <c r="A14" t="s">
        <v>41</v>
      </c>
      <c r="B14" t="s">
        <v>54</v>
      </c>
      <c r="C14" t="s">
        <v>89</v>
      </c>
      <c r="D14" t="s">
        <v>103</v>
      </c>
      <c r="E14" s="3">
        <v>19.722222222222221</v>
      </c>
      <c r="F14" s="3">
        <f>Table3[[#This Row],[Total Hours Nurse Staffing]]/Table3[[#This Row],[MDS Census]]</f>
        <v>4.3995774647887327</v>
      </c>
      <c r="G14" s="3">
        <f>Table3[[#This Row],[Total Direct Care Staff Hours]]/Table3[[#This Row],[MDS Census]]</f>
        <v>4.1869014084507041</v>
      </c>
      <c r="H14" s="3">
        <f>Table3[[#This Row],[Total RN Hours (w/ Admin, DON)]]/Table3[[#This Row],[MDS Census]]</f>
        <v>0.90704225352112677</v>
      </c>
      <c r="I14" s="3">
        <f>Table3[[#This Row],[RN Hours (excl. Admin, DON)]]/Table3[[#This Row],[MDS Census]]</f>
        <v>0.69436619718309867</v>
      </c>
      <c r="J14" s="3">
        <f t="shared" si="0"/>
        <v>86.769444444444446</v>
      </c>
      <c r="K14" s="3">
        <f>SUM(Table3[[#This Row],[RN Hours (excl. Admin, DON)]], Table3[[#This Row],[LPN Hours (excl. Admin)]], Table3[[#This Row],[CNA Hours]], Table3[[#This Row],[NA TR Hours]], Table3[[#This Row],[Med Aide/Tech Hours]])</f>
        <v>82.575000000000003</v>
      </c>
      <c r="L14" s="3">
        <f>SUM(Table3[[#This Row],[RN Hours (excl. Admin, DON)]:[RN DON Hours]])</f>
        <v>17.888888888888889</v>
      </c>
      <c r="M14" s="3">
        <v>13.694444444444445</v>
      </c>
      <c r="N14" s="3">
        <v>4.1944444444444446</v>
      </c>
      <c r="O14" s="3">
        <v>0</v>
      </c>
      <c r="P14" s="3">
        <f>SUM(Table3[[#This Row],[LPN Hours (excl. Admin)]:[LPN Admin Hours]])</f>
        <v>15.147222222222222</v>
      </c>
      <c r="Q14" s="3">
        <v>15.147222222222222</v>
      </c>
      <c r="R14" s="3">
        <v>0</v>
      </c>
      <c r="S14" s="3">
        <f>SUM(Table3[[#This Row],[CNA Hours]], Table3[[#This Row],[NA TR Hours]], Table3[[#This Row],[Med Aide/Tech Hours]])</f>
        <v>53.733333333333334</v>
      </c>
      <c r="T14" s="3">
        <v>53.733333333333334</v>
      </c>
      <c r="U14" s="3">
        <v>0</v>
      </c>
      <c r="V14" s="3">
        <v>0</v>
      </c>
      <c r="W14" s="3">
        <f>SUM(Table3[[#This Row],[RN Hours Contract]:[Med Aide Hours Contract]])</f>
        <v>0</v>
      </c>
      <c r="X14" s="3">
        <v>0</v>
      </c>
      <c r="Y14" s="3">
        <v>0</v>
      </c>
      <c r="Z14" s="3">
        <v>0</v>
      </c>
      <c r="AA14" s="3">
        <v>0</v>
      </c>
      <c r="AB14" s="3">
        <v>0</v>
      </c>
      <c r="AC14" s="3">
        <v>0</v>
      </c>
      <c r="AD14" s="3">
        <v>0</v>
      </c>
      <c r="AE14" s="3">
        <v>0</v>
      </c>
      <c r="AF14" t="s">
        <v>12</v>
      </c>
      <c r="AG14" s="13">
        <v>9</v>
      </c>
      <c r="AQ14"/>
    </row>
    <row r="15" spans="1:43" x14ac:dyDescent="0.2">
      <c r="A15" t="s">
        <v>41</v>
      </c>
      <c r="B15" t="s">
        <v>55</v>
      </c>
      <c r="C15" t="s">
        <v>87</v>
      </c>
      <c r="D15" t="s">
        <v>104</v>
      </c>
      <c r="E15" s="3">
        <v>67.388888888888886</v>
      </c>
      <c r="F15" s="3">
        <f>Table3[[#This Row],[Total Hours Nurse Staffing]]/Table3[[#This Row],[MDS Census]]</f>
        <v>3.1599752679307502</v>
      </c>
      <c r="G15" s="3">
        <f>Table3[[#This Row],[Total Direct Care Staff Hours]]/Table3[[#This Row],[MDS Census]]</f>
        <v>2.9591508656224241</v>
      </c>
      <c r="H15" s="3">
        <f>Table3[[#This Row],[Total RN Hours (w/ Admin, DON)]]/Table3[[#This Row],[MDS Census]]</f>
        <v>1.2183429513602637</v>
      </c>
      <c r="I15" s="3">
        <f>Table3[[#This Row],[RN Hours (excl. Admin, DON)]]/Table3[[#This Row],[MDS Census]]</f>
        <v>1.0175185490519374</v>
      </c>
      <c r="J15" s="3">
        <f t="shared" si="0"/>
        <v>212.94722222222222</v>
      </c>
      <c r="K15" s="3">
        <f>SUM(Table3[[#This Row],[RN Hours (excl. Admin, DON)]], Table3[[#This Row],[LPN Hours (excl. Admin)]], Table3[[#This Row],[CNA Hours]], Table3[[#This Row],[NA TR Hours]], Table3[[#This Row],[Med Aide/Tech Hours]])</f>
        <v>199.41388888888892</v>
      </c>
      <c r="L15" s="3">
        <f>SUM(Table3[[#This Row],[RN Hours (excl. Admin, DON)]:[RN DON Hours]])</f>
        <v>82.102777777777774</v>
      </c>
      <c r="M15" s="3">
        <v>68.569444444444443</v>
      </c>
      <c r="N15" s="3">
        <v>7.9333333333333336</v>
      </c>
      <c r="O15" s="3">
        <v>5.6</v>
      </c>
      <c r="P15" s="3">
        <f>SUM(Table3[[#This Row],[LPN Hours (excl. Admin)]:[LPN Admin Hours]])</f>
        <v>9.2361111111111107</v>
      </c>
      <c r="Q15" s="3">
        <v>9.2361111111111107</v>
      </c>
      <c r="R15" s="3">
        <v>0</v>
      </c>
      <c r="S15" s="3">
        <f>SUM(Table3[[#This Row],[CNA Hours]], Table3[[#This Row],[NA TR Hours]], Table3[[#This Row],[Med Aide/Tech Hours]])</f>
        <v>121.60833333333333</v>
      </c>
      <c r="T15" s="3">
        <v>112.00555555555556</v>
      </c>
      <c r="U15" s="3">
        <v>9.6027777777777779</v>
      </c>
      <c r="V15" s="3">
        <v>0</v>
      </c>
      <c r="W15" s="3">
        <f>SUM(Table3[[#This Row],[RN Hours Contract]:[Med Aide Hours Contract]])</f>
        <v>0</v>
      </c>
      <c r="X15" s="3">
        <v>0</v>
      </c>
      <c r="Y15" s="3">
        <v>0</v>
      </c>
      <c r="Z15" s="3">
        <v>0</v>
      </c>
      <c r="AA15" s="3">
        <v>0</v>
      </c>
      <c r="AB15" s="3">
        <v>0</v>
      </c>
      <c r="AC15" s="3">
        <v>0</v>
      </c>
      <c r="AD15" s="3">
        <v>0</v>
      </c>
      <c r="AE15" s="3">
        <v>0</v>
      </c>
      <c r="AF15" t="s">
        <v>13</v>
      </c>
      <c r="AG15" s="13">
        <v>9</v>
      </c>
      <c r="AQ15"/>
    </row>
    <row r="16" spans="1:43" x14ac:dyDescent="0.2">
      <c r="A16" t="s">
        <v>41</v>
      </c>
      <c r="B16" t="s">
        <v>56</v>
      </c>
      <c r="C16" t="s">
        <v>87</v>
      </c>
      <c r="D16" t="s">
        <v>104</v>
      </c>
      <c r="E16" s="3">
        <v>140.75555555555556</v>
      </c>
      <c r="F16" s="3">
        <f>Table3[[#This Row],[Total Hours Nurse Staffing]]/Table3[[#This Row],[MDS Census]]</f>
        <v>3.829108778023365</v>
      </c>
      <c r="G16" s="3">
        <f>Table3[[#This Row],[Total Direct Care Staff Hours]]/Table3[[#This Row],[MDS Census]]</f>
        <v>3.4879538995895167</v>
      </c>
      <c r="H16" s="3">
        <f>Table3[[#This Row],[Total RN Hours (w/ Admin, DON)]]/Table3[[#This Row],[MDS Census]]</f>
        <v>1.2273855383643828</v>
      </c>
      <c r="I16" s="3">
        <f>Table3[[#This Row],[RN Hours (excl. Admin, DON)]]/Table3[[#This Row],[MDS Census]]</f>
        <v>0.88623065993053363</v>
      </c>
      <c r="J16" s="3">
        <f t="shared" si="0"/>
        <v>538.96833333333325</v>
      </c>
      <c r="K16" s="3">
        <f>SUM(Table3[[#This Row],[RN Hours (excl. Admin, DON)]], Table3[[#This Row],[LPN Hours (excl. Admin)]], Table3[[#This Row],[CNA Hours]], Table3[[#This Row],[NA TR Hours]], Table3[[#This Row],[Med Aide/Tech Hours]])</f>
        <v>490.94888888888886</v>
      </c>
      <c r="L16" s="3">
        <f>SUM(Table3[[#This Row],[RN Hours (excl. Admin, DON)]:[RN DON Hours]])</f>
        <v>172.76133333333334</v>
      </c>
      <c r="M16" s="3">
        <v>124.74188888888889</v>
      </c>
      <c r="N16" s="3">
        <v>41.797222222222224</v>
      </c>
      <c r="O16" s="3">
        <v>6.2222222222222223</v>
      </c>
      <c r="P16" s="3">
        <f>SUM(Table3[[#This Row],[LPN Hours (excl. Admin)]:[LPN Admin Hours]])</f>
        <v>67.515666666666661</v>
      </c>
      <c r="Q16" s="3">
        <v>67.515666666666661</v>
      </c>
      <c r="R16" s="3">
        <v>0</v>
      </c>
      <c r="S16" s="3">
        <f>SUM(Table3[[#This Row],[CNA Hours]], Table3[[#This Row],[NA TR Hours]], Table3[[#This Row],[Med Aide/Tech Hours]])</f>
        <v>298.69133333333332</v>
      </c>
      <c r="T16" s="3">
        <v>298.69133333333332</v>
      </c>
      <c r="U16" s="3">
        <v>0</v>
      </c>
      <c r="V16" s="3">
        <v>0</v>
      </c>
      <c r="W16" s="3">
        <f>SUM(Table3[[#This Row],[RN Hours Contract]:[Med Aide Hours Contract]])</f>
        <v>26.134444444444444</v>
      </c>
      <c r="X16" s="3">
        <v>6.7372222222222229</v>
      </c>
      <c r="Y16" s="3">
        <v>0</v>
      </c>
      <c r="Z16" s="3">
        <v>0</v>
      </c>
      <c r="AA16" s="3">
        <v>0.62222222222222223</v>
      </c>
      <c r="AB16" s="3">
        <v>0</v>
      </c>
      <c r="AC16" s="3">
        <v>18.774999999999999</v>
      </c>
      <c r="AD16" s="3">
        <v>0</v>
      </c>
      <c r="AE16" s="3">
        <v>0</v>
      </c>
      <c r="AF16" t="s">
        <v>14</v>
      </c>
      <c r="AG16" s="13">
        <v>9</v>
      </c>
      <c r="AQ16"/>
    </row>
    <row r="17" spans="1:43" x14ac:dyDescent="0.2">
      <c r="A17" t="s">
        <v>41</v>
      </c>
      <c r="B17" t="s">
        <v>57</v>
      </c>
      <c r="C17" t="s">
        <v>90</v>
      </c>
      <c r="D17" t="s">
        <v>103</v>
      </c>
      <c r="E17" s="3">
        <v>44.344444444444441</v>
      </c>
      <c r="F17" s="3">
        <f>Table3[[#This Row],[Total Hours Nurse Staffing]]/Table3[[#This Row],[MDS Census]]</f>
        <v>6.0606364319719379</v>
      </c>
      <c r="G17" s="3">
        <f>Table3[[#This Row],[Total Direct Care Staff Hours]]/Table3[[#This Row],[MDS Census]]</f>
        <v>5.9764470057629673</v>
      </c>
      <c r="H17" s="3">
        <f>Table3[[#This Row],[Total RN Hours (w/ Admin, DON)]]/Table3[[#This Row],[MDS Census]]</f>
        <v>1.4662991731395643</v>
      </c>
      <c r="I17" s="3">
        <f>Table3[[#This Row],[RN Hours (excl. Admin, DON)]]/Table3[[#This Row],[MDS Census]]</f>
        <v>1.3821097469305941</v>
      </c>
      <c r="J17" s="3">
        <f t="shared" si="0"/>
        <v>268.75555555555559</v>
      </c>
      <c r="K17" s="3">
        <f>SUM(Table3[[#This Row],[RN Hours (excl. Admin, DON)]], Table3[[#This Row],[LPN Hours (excl. Admin)]], Table3[[#This Row],[CNA Hours]], Table3[[#This Row],[NA TR Hours]], Table3[[#This Row],[Med Aide/Tech Hours]])</f>
        <v>265.02222222222224</v>
      </c>
      <c r="L17" s="3">
        <f>SUM(Table3[[#This Row],[RN Hours (excl. Admin, DON)]:[RN DON Hours]])</f>
        <v>65.022222222222226</v>
      </c>
      <c r="M17" s="3">
        <v>61.288888888888891</v>
      </c>
      <c r="N17" s="3">
        <v>3.7333333333333334</v>
      </c>
      <c r="O17" s="3">
        <v>0</v>
      </c>
      <c r="P17" s="3">
        <f>SUM(Table3[[#This Row],[LPN Hours (excl. Admin)]:[LPN Admin Hours]])</f>
        <v>37.333333333333336</v>
      </c>
      <c r="Q17" s="3">
        <v>37.333333333333336</v>
      </c>
      <c r="R17" s="3">
        <v>0</v>
      </c>
      <c r="S17" s="3">
        <f>SUM(Table3[[#This Row],[CNA Hours]], Table3[[#This Row],[NA TR Hours]], Table3[[#This Row],[Med Aide/Tech Hours]])</f>
        <v>166.4</v>
      </c>
      <c r="T17" s="3">
        <v>166.4</v>
      </c>
      <c r="U17" s="3">
        <v>0</v>
      </c>
      <c r="V17" s="3">
        <v>0</v>
      </c>
      <c r="W17" s="3">
        <f>SUM(Table3[[#This Row],[RN Hours Contract]:[Med Aide Hours Contract]])</f>
        <v>0</v>
      </c>
      <c r="X17" s="3">
        <v>0</v>
      </c>
      <c r="Y17" s="3">
        <v>0</v>
      </c>
      <c r="Z17" s="3">
        <v>0</v>
      </c>
      <c r="AA17" s="3">
        <v>0</v>
      </c>
      <c r="AB17" s="3">
        <v>0</v>
      </c>
      <c r="AC17" s="3">
        <v>0</v>
      </c>
      <c r="AD17" s="3">
        <v>0</v>
      </c>
      <c r="AE17" s="3">
        <v>0</v>
      </c>
      <c r="AF17" t="s">
        <v>15</v>
      </c>
      <c r="AG17" s="13">
        <v>9</v>
      </c>
      <c r="AQ17"/>
    </row>
    <row r="18" spans="1:43" x14ac:dyDescent="0.2">
      <c r="A18" t="s">
        <v>41</v>
      </c>
      <c r="B18" t="s">
        <v>58</v>
      </c>
      <c r="C18" t="s">
        <v>91</v>
      </c>
      <c r="D18" t="s">
        <v>101</v>
      </c>
      <c r="E18" s="3">
        <v>58.744444444444447</v>
      </c>
      <c r="F18" s="3">
        <f>Table3[[#This Row],[Total Hours Nurse Staffing]]/Table3[[#This Row],[MDS Census]]</f>
        <v>4.5406374125212778</v>
      </c>
      <c r="G18" s="3">
        <f>Table3[[#This Row],[Total Direct Care Staff Hours]]/Table3[[#This Row],[MDS Census]]</f>
        <v>4.5406374125212778</v>
      </c>
      <c r="H18" s="3">
        <f>Table3[[#This Row],[Total RN Hours (w/ Admin, DON)]]/Table3[[#This Row],[MDS Census]]</f>
        <v>1.023122753924721</v>
      </c>
      <c r="I18" s="3">
        <f>Table3[[#This Row],[RN Hours (excl. Admin, DON)]]/Table3[[#This Row],[MDS Census]]</f>
        <v>1.023122753924721</v>
      </c>
      <c r="J18" s="3">
        <f t="shared" si="0"/>
        <v>266.73722222222221</v>
      </c>
      <c r="K18" s="3">
        <f>SUM(Table3[[#This Row],[RN Hours (excl. Admin, DON)]], Table3[[#This Row],[LPN Hours (excl. Admin)]], Table3[[#This Row],[CNA Hours]], Table3[[#This Row],[NA TR Hours]], Table3[[#This Row],[Med Aide/Tech Hours]])</f>
        <v>266.73722222222221</v>
      </c>
      <c r="L18" s="3">
        <f>SUM(Table3[[#This Row],[RN Hours (excl. Admin, DON)]:[RN DON Hours]])</f>
        <v>60.102777777777774</v>
      </c>
      <c r="M18" s="3">
        <v>60.102777777777774</v>
      </c>
      <c r="N18" s="3">
        <v>0</v>
      </c>
      <c r="O18" s="3">
        <v>0</v>
      </c>
      <c r="P18" s="3">
        <f>SUM(Table3[[#This Row],[LPN Hours (excl. Admin)]:[LPN Admin Hours]])</f>
        <v>24.331666666666667</v>
      </c>
      <c r="Q18" s="3">
        <v>24.331666666666667</v>
      </c>
      <c r="R18" s="3">
        <v>0</v>
      </c>
      <c r="S18" s="3">
        <f>SUM(Table3[[#This Row],[CNA Hours]], Table3[[#This Row],[NA TR Hours]], Table3[[#This Row],[Med Aide/Tech Hours]])</f>
        <v>182.30277777777778</v>
      </c>
      <c r="T18" s="3">
        <v>182.30277777777778</v>
      </c>
      <c r="U18" s="3">
        <v>0</v>
      </c>
      <c r="V18" s="3">
        <v>0</v>
      </c>
      <c r="W18" s="3">
        <f>SUM(Table3[[#This Row],[RN Hours Contract]:[Med Aide Hours Contract]])</f>
        <v>5.7555555555555555</v>
      </c>
      <c r="X18" s="3">
        <v>0</v>
      </c>
      <c r="Y18" s="3">
        <v>0</v>
      </c>
      <c r="Z18" s="3">
        <v>0</v>
      </c>
      <c r="AA18" s="3">
        <v>5.7555555555555555</v>
      </c>
      <c r="AB18" s="3">
        <v>0</v>
      </c>
      <c r="AC18" s="3">
        <v>0</v>
      </c>
      <c r="AD18" s="3">
        <v>0</v>
      </c>
      <c r="AE18" s="3">
        <v>0</v>
      </c>
      <c r="AF18" t="s">
        <v>16</v>
      </c>
      <c r="AG18" s="13">
        <v>9</v>
      </c>
      <c r="AQ18"/>
    </row>
    <row r="19" spans="1:43" x14ac:dyDescent="0.2">
      <c r="A19" t="s">
        <v>41</v>
      </c>
      <c r="B19" t="s">
        <v>59</v>
      </c>
      <c r="C19" t="s">
        <v>92</v>
      </c>
      <c r="D19" t="s">
        <v>104</v>
      </c>
      <c r="E19" s="3">
        <v>34.055555555555557</v>
      </c>
      <c r="F19" s="3">
        <f>Table3[[#This Row],[Total Hours Nurse Staffing]]/Table3[[#This Row],[MDS Census]]</f>
        <v>4.466972267536705</v>
      </c>
      <c r="G19" s="3">
        <f>Table3[[#This Row],[Total Direct Care Staff Hours]]/Table3[[#This Row],[MDS Census]]</f>
        <v>3.3002740619902124</v>
      </c>
      <c r="H19" s="3">
        <f>Table3[[#This Row],[Total RN Hours (w/ Admin, DON)]]/Table3[[#This Row],[MDS Census]]</f>
        <v>1.3307308319738993</v>
      </c>
      <c r="I19" s="3">
        <f>Table3[[#This Row],[RN Hours (excl. Admin, DON)]]/Table3[[#This Row],[MDS Census]]</f>
        <v>0.16403262642740618</v>
      </c>
      <c r="J19" s="3">
        <f t="shared" si="0"/>
        <v>152.12522222222225</v>
      </c>
      <c r="K19" s="3">
        <f>SUM(Table3[[#This Row],[RN Hours (excl. Admin, DON)]], Table3[[#This Row],[LPN Hours (excl. Admin)]], Table3[[#This Row],[CNA Hours]], Table3[[#This Row],[NA TR Hours]], Table3[[#This Row],[Med Aide/Tech Hours]])</f>
        <v>112.39266666666668</v>
      </c>
      <c r="L19" s="3">
        <f>SUM(Table3[[#This Row],[RN Hours (excl. Admin, DON)]:[RN DON Hours]])</f>
        <v>45.318777777777797</v>
      </c>
      <c r="M19" s="3">
        <v>5.5862222222222222</v>
      </c>
      <c r="N19" s="3">
        <v>34.665888888888908</v>
      </c>
      <c r="O19" s="3">
        <v>5.0666666666666664</v>
      </c>
      <c r="P19" s="3">
        <f>SUM(Table3[[#This Row],[LPN Hours (excl. Admin)]:[LPN Admin Hours]])</f>
        <v>12.264333333333333</v>
      </c>
      <c r="Q19" s="3">
        <v>12.264333333333333</v>
      </c>
      <c r="R19" s="3">
        <v>0</v>
      </c>
      <c r="S19" s="3">
        <f>SUM(Table3[[#This Row],[CNA Hours]], Table3[[#This Row],[NA TR Hours]], Table3[[#This Row],[Med Aide/Tech Hours]])</f>
        <v>94.542111111111126</v>
      </c>
      <c r="T19" s="3">
        <v>94.542111111111126</v>
      </c>
      <c r="U19" s="3">
        <v>0</v>
      </c>
      <c r="V19" s="3">
        <v>0</v>
      </c>
      <c r="W19" s="3">
        <f>SUM(Table3[[#This Row],[RN Hours Contract]:[Med Aide Hours Contract]])</f>
        <v>5.5555555555555552E-2</v>
      </c>
      <c r="X19" s="3">
        <v>5.5555555555555552E-2</v>
      </c>
      <c r="Y19" s="3">
        <v>0</v>
      </c>
      <c r="Z19" s="3">
        <v>0</v>
      </c>
      <c r="AA19" s="3">
        <v>0</v>
      </c>
      <c r="AB19" s="3">
        <v>0</v>
      </c>
      <c r="AC19" s="3">
        <v>0</v>
      </c>
      <c r="AD19" s="3">
        <v>0</v>
      </c>
      <c r="AE19" s="3">
        <v>0</v>
      </c>
      <c r="AF19" t="s">
        <v>17</v>
      </c>
      <c r="AG19" s="13">
        <v>9</v>
      </c>
      <c r="AQ19"/>
    </row>
    <row r="20" spans="1:43" x14ac:dyDescent="0.2">
      <c r="A20" t="s">
        <v>41</v>
      </c>
      <c r="B20" t="s">
        <v>60</v>
      </c>
      <c r="C20" t="s">
        <v>92</v>
      </c>
      <c r="D20" t="s">
        <v>104</v>
      </c>
      <c r="E20" s="3">
        <v>105.65555555555555</v>
      </c>
      <c r="F20" s="3">
        <f>Table3[[#This Row],[Total Hours Nurse Staffing]]/Table3[[#This Row],[MDS Census]]</f>
        <v>4.2430655168787474</v>
      </c>
      <c r="G20" s="3">
        <f>Table3[[#This Row],[Total Direct Care Staff Hours]]/Table3[[#This Row],[MDS Census]]</f>
        <v>3.8717762120096757</v>
      </c>
      <c r="H20" s="3">
        <f>Table3[[#This Row],[Total RN Hours (w/ Admin, DON)]]/Table3[[#This Row],[MDS Census]]</f>
        <v>1.3724376906088971</v>
      </c>
      <c r="I20" s="3">
        <f>Table3[[#This Row],[RN Hours (excl. Admin, DON)]]/Table3[[#This Row],[MDS Census]]</f>
        <v>1.0011483857398256</v>
      </c>
      <c r="J20" s="3">
        <f t="shared" si="0"/>
        <v>448.30344444444449</v>
      </c>
      <c r="K20" s="3">
        <f>SUM(Table3[[#This Row],[RN Hours (excl. Admin, DON)]], Table3[[#This Row],[LPN Hours (excl. Admin)]], Table3[[#This Row],[CNA Hours]], Table3[[#This Row],[NA TR Hours]], Table3[[#This Row],[Med Aide/Tech Hours]])</f>
        <v>409.0746666666667</v>
      </c>
      <c r="L20" s="3">
        <f>SUM(Table3[[#This Row],[RN Hours (excl. Admin, DON)]:[RN DON Hours]])</f>
        <v>145.00566666666668</v>
      </c>
      <c r="M20" s="3">
        <v>105.77688888888889</v>
      </c>
      <c r="N20" s="3">
        <v>34.251000000000005</v>
      </c>
      <c r="O20" s="3">
        <v>4.9777777777777779</v>
      </c>
      <c r="P20" s="3">
        <f>SUM(Table3[[#This Row],[LPN Hours (excl. Admin)]:[LPN Admin Hours]])</f>
        <v>21.099222222222224</v>
      </c>
      <c r="Q20" s="3">
        <v>21.099222222222224</v>
      </c>
      <c r="R20" s="3">
        <v>0</v>
      </c>
      <c r="S20" s="3">
        <f>SUM(Table3[[#This Row],[CNA Hours]], Table3[[#This Row],[NA TR Hours]], Table3[[#This Row],[Med Aide/Tech Hours]])</f>
        <v>282.19855555555557</v>
      </c>
      <c r="T20" s="3">
        <v>238.62366666666668</v>
      </c>
      <c r="U20" s="3">
        <v>43.5748888888889</v>
      </c>
      <c r="V20" s="3">
        <v>0</v>
      </c>
      <c r="W20" s="3">
        <f>SUM(Table3[[#This Row],[RN Hours Contract]:[Med Aide Hours Contract]])</f>
        <v>19.522222222222219</v>
      </c>
      <c r="X20" s="3">
        <v>1.0472222222222223</v>
      </c>
      <c r="Y20" s="3">
        <v>0</v>
      </c>
      <c r="Z20" s="3">
        <v>0</v>
      </c>
      <c r="AA20" s="3">
        <v>0</v>
      </c>
      <c r="AB20" s="3">
        <v>0</v>
      </c>
      <c r="AC20" s="3">
        <v>17.474999999999998</v>
      </c>
      <c r="AD20" s="3">
        <v>1</v>
      </c>
      <c r="AE20" s="3">
        <v>0</v>
      </c>
      <c r="AF20" t="s">
        <v>18</v>
      </c>
      <c r="AG20" s="13">
        <v>9</v>
      </c>
      <c r="AQ20"/>
    </row>
    <row r="21" spans="1:43" x14ac:dyDescent="0.2">
      <c r="A21" t="s">
        <v>41</v>
      </c>
      <c r="B21" t="s">
        <v>61</v>
      </c>
      <c r="C21" t="s">
        <v>83</v>
      </c>
      <c r="D21" t="s">
        <v>101</v>
      </c>
      <c r="E21" s="3">
        <v>200.3111111111111</v>
      </c>
      <c r="F21" s="3">
        <f>Table3[[#This Row],[Total Hours Nurse Staffing]]/Table3[[#This Row],[MDS Census]]</f>
        <v>3.4251542045706675</v>
      </c>
      <c r="G21" s="3">
        <f>Table3[[#This Row],[Total Direct Care Staff Hours]]/Table3[[#This Row],[MDS Census]]</f>
        <v>3.2496893720878637</v>
      </c>
      <c r="H21" s="3">
        <f>Table3[[#This Row],[Total RN Hours (w/ Admin, DON)]]/Table3[[#This Row],[MDS Census]]</f>
        <v>1.0097631462169958</v>
      </c>
      <c r="I21" s="3">
        <f>Table3[[#This Row],[RN Hours (excl. Admin, DON)]]/Table3[[#This Row],[MDS Census]]</f>
        <v>0.83429831373419128</v>
      </c>
      <c r="J21" s="3">
        <f t="shared" si="0"/>
        <v>686.09644444444439</v>
      </c>
      <c r="K21" s="3">
        <f>SUM(Table3[[#This Row],[RN Hours (excl. Admin, DON)]], Table3[[#This Row],[LPN Hours (excl. Admin)]], Table3[[#This Row],[CNA Hours]], Table3[[#This Row],[NA TR Hours]], Table3[[#This Row],[Med Aide/Tech Hours]])</f>
        <v>650.94888888888897</v>
      </c>
      <c r="L21" s="3">
        <f>SUM(Table3[[#This Row],[RN Hours (excl. Admin, DON)]:[RN DON Hours]])</f>
        <v>202.26677777777778</v>
      </c>
      <c r="M21" s="3">
        <v>167.11922222222222</v>
      </c>
      <c r="N21" s="3">
        <v>29.547555555555558</v>
      </c>
      <c r="O21" s="3">
        <v>5.6</v>
      </c>
      <c r="P21" s="3">
        <f>SUM(Table3[[#This Row],[LPN Hours (excl. Admin)]:[LPN Admin Hours]])</f>
        <v>75.581555555555553</v>
      </c>
      <c r="Q21" s="3">
        <v>75.581555555555553</v>
      </c>
      <c r="R21" s="3">
        <v>0</v>
      </c>
      <c r="S21" s="3">
        <f>SUM(Table3[[#This Row],[CNA Hours]], Table3[[#This Row],[NA TR Hours]], Table3[[#This Row],[Med Aide/Tech Hours]])</f>
        <v>408.24811111111109</v>
      </c>
      <c r="T21" s="3">
        <v>407.20944444444444</v>
      </c>
      <c r="U21" s="3">
        <v>1.0386666666666666</v>
      </c>
      <c r="V21" s="3">
        <v>0</v>
      </c>
      <c r="W21" s="3">
        <f>SUM(Table3[[#This Row],[RN Hours Contract]:[Med Aide Hours Contract]])</f>
        <v>0</v>
      </c>
      <c r="X21" s="3">
        <v>0</v>
      </c>
      <c r="Y21" s="3">
        <v>0</v>
      </c>
      <c r="Z21" s="3">
        <v>0</v>
      </c>
      <c r="AA21" s="3">
        <v>0</v>
      </c>
      <c r="AB21" s="3">
        <v>0</v>
      </c>
      <c r="AC21" s="3">
        <v>0</v>
      </c>
      <c r="AD21" s="3">
        <v>0</v>
      </c>
      <c r="AE21" s="3">
        <v>0</v>
      </c>
      <c r="AF21" t="s">
        <v>19</v>
      </c>
      <c r="AG21" s="13">
        <v>9</v>
      </c>
      <c r="AQ21"/>
    </row>
    <row r="22" spans="1:43" x14ac:dyDescent="0.2">
      <c r="A22" t="s">
        <v>41</v>
      </c>
      <c r="B22" t="s">
        <v>62</v>
      </c>
      <c r="C22" t="s">
        <v>87</v>
      </c>
      <c r="D22" t="s">
        <v>104</v>
      </c>
      <c r="E22" s="3">
        <v>69.900000000000006</v>
      </c>
      <c r="F22" s="3">
        <f>Table3[[#This Row],[Total Hours Nurse Staffing]]/Table3[[#This Row],[MDS Census]]</f>
        <v>3.7219043077412173</v>
      </c>
      <c r="G22" s="3">
        <f>Table3[[#This Row],[Total Direct Care Staff Hours]]/Table3[[#This Row],[MDS Census]]</f>
        <v>3.6316165951359078</v>
      </c>
      <c r="H22" s="3">
        <f>Table3[[#This Row],[Total RN Hours (w/ Admin, DON)]]/Table3[[#This Row],[MDS Census]]</f>
        <v>1.1585201080909235</v>
      </c>
      <c r="I22" s="3">
        <f>Table3[[#This Row],[RN Hours (excl. Admin, DON)]]/Table3[[#This Row],[MDS Census]]</f>
        <v>1.0682323954856143</v>
      </c>
      <c r="J22" s="3">
        <f t="shared" si="0"/>
        <v>260.1611111111111</v>
      </c>
      <c r="K22" s="3">
        <f>SUM(Table3[[#This Row],[RN Hours (excl. Admin, DON)]], Table3[[#This Row],[LPN Hours (excl. Admin)]], Table3[[#This Row],[CNA Hours]], Table3[[#This Row],[NA TR Hours]], Table3[[#This Row],[Med Aide/Tech Hours]])</f>
        <v>253.85</v>
      </c>
      <c r="L22" s="3">
        <f>SUM(Table3[[#This Row],[RN Hours (excl. Admin, DON)]:[RN DON Hours]])</f>
        <v>80.980555555555554</v>
      </c>
      <c r="M22" s="3">
        <v>74.669444444444451</v>
      </c>
      <c r="N22" s="3">
        <v>4.5333333333333332</v>
      </c>
      <c r="O22" s="3">
        <v>1.7777777777777777</v>
      </c>
      <c r="P22" s="3">
        <f>SUM(Table3[[#This Row],[LPN Hours (excl. Admin)]:[LPN Admin Hours]])</f>
        <v>17.2</v>
      </c>
      <c r="Q22" s="3">
        <v>17.2</v>
      </c>
      <c r="R22" s="3">
        <v>0</v>
      </c>
      <c r="S22" s="3">
        <f>SUM(Table3[[#This Row],[CNA Hours]], Table3[[#This Row],[NA TR Hours]], Table3[[#This Row],[Med Aide/Tech Hours]])</f>
        <v>161.98055555555555</v>
      </c>
      <c r="T22" s="3">
        <v>147.60833333333332</v>
      </c>
      <c r="U22" s="3">
        <v>14.372222222222222</v>
      </c>
      <c r="V22" s="3">
        <v>0</v>
      </c>
      <c r="W22" s="3">
        <f>SUM(Table3[[#This Row],[RN Hours Contract]:[Med Aide Hours Contract]])</f>
        <v>0</v>
      </c>
      <c r="X22" s="3">
        <v>0</v>
      </c>
      <c r="Y22" s="3">
        <v>0</v>
      </c>
      <c r="Z22" s="3">
        <v>0</v>
      </c>
      <c r="AA22" s="3">
        <v>0</v>
      </c>
      <c r="AB22" s="3">
        <v>0</v>
      </c>
      <c r="AC22" s="3">
        <v>0</v>
      </c>
      <c r="AD22" s="3">
        <v>0</v>
      </c>
      <c r="AE22" s="3">
        <v>0</v>
      </c>
      <c r="AF22" t="s">
        <v>20</v>
      </c>
      <c r="AG22" s="13">
        <v>9</v>
      </c>
      <c r="AQ22"/>
    </row>
    <row r="23" spans="1:43" x14ac:dyDescent="0.2">
      <c r="A23" t="s">
        <v>41</v>
      </c>
      <c r="B23" t="s">
        <v>63</v>
      </c>
      <c r="C23" t="s">
        <v>87</v>
      </c>
      <c r="D23" t="s">
        <v>104</v>
      </c>
      <c r="E23" s="3">
        <v>68.911111111111111</v>
      </c>
      <c r="F23" s="3">
        <f>Table3[[#This Row],[Total Hours Nurse Staffing]]/Table3[[#This Row],[MDS Census]]</f>
        <v>4.2791534988713318</v>
      </c>
      <c r="G23" s="3">
        <f>Table3[[#This Row],[Total Direct Care Staff Hours]]/Table3[[#This Row],[MDS Census]]</f>
        <v>4.022945823927766</v>
      </c>
      <c r="H23" s="3">
        <f>Table3[[#This Row],[Total RN Hours (w/ Admin, DON)]]/Table3[[#This Row],[MDS Census]]</f>
        <v>1.4867349242179941</v>
      </c>
      <c r="I23" s="3">
        <f>Table3[[#This Row],[RN Hours (excl. Admin, DON)]]/Table3[[#This Row],[MDS Census]]</f>
        <v>1.2305272492744275</v>
      </c>
      <c r="J23" s="3">
        <f t="shared" si="0"/>
        <v>294.88122222222222</v>
      </c>
      <c r="K23" s="3">
        <f>SUM(Table3[[#This Row],[RN Hours (excl. Admin, DON)]], Table3[[#This Row],[LPN Hours (excl. Admin)]], Table3[[#This Row],[CNA Hours]], Table3[[#This Row],[NA TR Hours]], Table3[[#This Row],[Med Aide/Tech Hours]])</f>
        <v>277.22566666666671</v>
      </c>
      <c r="L23" s="3">
        <f>SUM(Table3[[#This Row],[RN Hours (excl. Admin, DON)]:[RN DON Hours]])</f>
        <v>102.45255555555555</v>
      </c>
      <c r="M23" s="3">
        <v>84.796999999999997</v>
      </c>
      <c r="N23" s="3">
        <v>12.322222222222223</v>
      </c>
      <c r="O23" s="3">
        <v>5.333333333333333</v>
      </c>
      <c r="P23" s="3">
        <f>SUM(Table3[[#This Row],[LPN Hours (excl. Admin)]:[LPN Admin Hours]])</f>
        <v>7.6444444444444448</v>
      </c>
      <c r="Q23" s="3">
        <v>7.6444444444444448</v>
      </c>
      <c r="R23" s="3">
        <v>0</v>
      </c>
      <c r="S23" s="3">
        <f>SUM(Table3[[#This Row],[CNA Hours]], Table3[[#This Row],[NA TR Hours]], Table3[[#This Row],[Med Aide/Tech Hours]])</f>
        <v>184.78422222222224</v>
      </c>
      <c r="T23" s="3">
        <v>184.78422222222224</v>
      </c>
      <c r="U23" s="3">
        <v>0</v>
      </c>
      <c r="V23" s="3">
        <v>0</v>
      </c>
      <c r="W23" s="3">
        <f>SUM(Table3[[#This Row],[RN Hours Contract]:[Med Aide Hours Contract]])</f>
        <v>33.375</v>
      </c>
      <c r="X23" s="3">
        <v>4.5333333333333332</v>
      </c>
      <c r="Y23" s="3">
        <v>1.9888888888888889</v>
      </c>
      <c r="Z23" s="3">
        <v>0</v>
      </c>
      <c r="AA23" s="3">
        <v>0.13333333333333333</v>
      </c>
      <c r="AB23" s="3">
        <v>0</v>
      </c>
      <c r="AC23" s="3">
        <v>26.719444444444445</v>
      </c>
      <c r="AD23" s="3">
        <v>0</v>
      </c>
      <c r="AE23" s="3">
        <v>0</v>
      </c>
      <c r="AF23" t="s">
        <v>21</v>
      </c>
      <c r="AG23" s="13">
        <v>9</v>
      </c>
      <c r="AQ23"/>
    </row>
    <row r="24" spans="1:43" x14ac:dyDescent="0.2">
      <c r="A24" t="s">
        <v>41</v>
      </c>
      <c r="B24" t="s">
        <v>64</v>
      </c>
      <c r="C24" t="s">
        <v>93</v>
      </c>
      <c r="D24" t="s">
        <v>104</v>
      </c>
      <c r="E24" s="3">
        <v>75.888888888888886</v>
      </c>
      <c r="F24" s="3">
        <f>Table3[[#This Row],[Total Hours Nurse Staffing]]/Table3[[#This Row],[MDS Census]]</f>
        <v>5.9241947291361647</v>
      </c>
      <c r="G24" s="3">
        <f>Table3[[#This Row],[Total Direct Care Staff Hours]]/Table3[[#This Row],[MDS Census]]</f>
        <v>5.6710468521229878</v>
      </c>
      <c r="H24" s="3">
        <f>Table3[[#This Row],[Total RN Hours (w/ Admin, DON)]]/Table3[[#This Row],[MDS Census]]</f>
        <v>2.095424597364568</v>
      </c>
      <c r="I24" s="3">
        <f>Table3[[#This Row],[RN Hours (excl. Admin, DON)]]/Table3[[#This Row],[MDS Census]]</f>
        <v>1.842276720351391</v>
      </c>
      <c r="J24" s="3">
        <f t="shared" si="0"/>
        <v>449.58055555555558</v>
      </c>
      <c r="K24" s="3">
        <f>SUM(Table3[[#This Row],[RN Hours (excl. Admin, DON)]], Table3[[#This Row],[LPN Hours (excl. Admin)]], Table3[[#This Row],[CNA Hours]], Table3[[#This Row],[NA TR Hours]], Table3[[#This Row],[Med Aide/Tech Hours]])</f>
        <v>430.36944444444447</v>
      </c>
      <c r="L24" s="3">
        <f>SUM(Table3[[#This Row],[RN Hours (excl. Admin, DON)]:[RN DON Hours]])</f>
        <v>159.01944444444445</v>
      </c>
      <c r="M24" s="3">
        <v>139.80833333333334</v>
      </c>
      <c r="N24" s="3">
        <v>13.966666666666667</v>
      </c>
      <c r="O24" s="3">
        <v>5.2444444444444445</v>
      </c>
      <c r="P24" s="3">
        <f>SUM(Table3[[#This Row],[LPN Hours (excl. Admin)]:[LPN Admin Hours]])</f>
        <v>32.233333333333334</v>
      </c>
      <c r="Q24" s="3">
        <v>32.233333333333334</v>
      </c>
      <c r="R24" s="3">
        <v>0</v>
      </c>
      <c r="S24" s="3">
        <f>SUM(Table3[[#This Row],[CNA Hours]], Table3[[#This Row],[NA TR Hours]], Table3[[#This Row],[Med Aide/Tech Hours]])</f>
        <v>258.32777777777778</v>
      </c>
      <c r="T24" s="3">
        <v>258.32777777777778</v>
      </c>
      <c r="U24" s="3">
        <v>0</v>
      </c>
      <c r="V24" s="3">
        <v>0</v>
      </c>
      <c r="W24" s="3">
        <f>SUM(Table3[[#This Row],[RN Hours Contract]:[Med Aide Hours Contract]])</f>
        <v>42.655555555555551</v>
      </c>
      <c r="X24" s="3">
        <v>4.697222222222222</v>
      </c>
      <c r="Y24" s="3">
        <v>3.1222222222222222</v>
      </c>
      <c r="Z24" s="3">
        <v>0</v>
      </c>
      <c r="AA24" s="3">
        <v>9.9805555555555561</v>
      </c>
      <c r="AB24" s="3">
        <v>0</v>
      </c>
      <c r="AC24" s="3">
        <v>24.855555555555554</v>
      </c>
      <c r="AD24" s="3">
        <v>0</v>
      </c>
      <c r="AE24" s="3">
        <v>0</v>
      </c>
      <c r="AF24" t="s">
        <v>22</v>
      </c>
      <c r="AG24" s="13">
        <v>9</v>
      </c>
      <c r="AQ24"/>
    </row>
    <row r="25" spans="1:43" x14ac:dyDescent="0.2">
      <c r="A25" t="s">
        <v>41</v>
      </c>
      <c r="B25" t="s">
        <v>65</v>
      </c>
      <c r="C25" t="s">
        <v>83</v>
      </c>
      <c r="D25" t="s">
        <v>101</v>
      </c>
      <c r="E25" s="3">
        <v>105.04444444444445</v>
      </c>
      <c r="F25" s="3">
        <f>Table3[[#This Row],[Total Hours Nurse Staffing]]/Table3[[#This Row],[MDS Census]]</f>
        <v>3.458853395388195</v>
      </c>
      <c r="G25" s="3">
        <f>Table3[[#This Row],[Total Direct Care Staff Hours]]/Table3[[#This Row],[MDS Census]]</f>
        <v>3.229575840913899</v>
      </c>
      <c r="H25" s="3">
        <f>Table3[[#This Row],[Total RN Hours (w/ Admin, DON)]]/Table3[[#This Row],[MDS Census]]</f>
        <v>0.8509805373386925</v>
      </c>
      <c r="I25" s="3">
        <f>Table3[[#This Row],[RN Hours (excl. Admin, DON)]]/Table3[[#This Row],[MDS Census]]</f>
        <v>0.62170298286439596</v>
      </c>
      <c r="J25" s="3">
        <f t="shared" si="0"/>
        <v>363.33333333333331</v>
      </c>
      <c r="K25" s="3">
        <f>SUM(Table3[[#This Row],[RN Hours (excl. Admin, DON)]], Table3[[#This Row],[LPN Hours (excl. Admin)]], Table3[[#This Row],[CNA Hours]], Table3[[#This Row],[NA TR Hours]], Table3[[#This Row],[Med Aide/Tech Hours]])</f>
        <v>339.24900000000002</v>
      </c>
      <c r="L25" s="3">
        <f>SUM(Table3[[#This Row],[RN Hours (excl. Admin, DON)]:[RN DON Hours]])</f>
        <v>89.390777777777771</v>
      </c>
      <c r="M25" s="3">
        <v>65.306444444444438</v>
      </c>
      <c r="N25" s="3">
        <v>18.484333333333332</v>
      </c>
      <c r="O25" s="3">
        <v>5.6</v>
      </c>
      <c r="P25" s="3">
        <f>SUM(Table3[[#This Row],[LPN Hours (excl. Admin)]:[LPN Admin Hours]])</f>
        <v>61.478555555555552</v>
      </c>
      <c r="Q25" s="3">
        <v>61.478555555555552</v>
      </c>
      <c r="R25" s="3">
        <v>0</v>
      </c>
      <c r="S25" s="3">
        <f>SUM(Table3[[#This Row],[CNA Hours]], Table3[[#This Row],[NA TR Hours]], Table3[[#This Row],[Med Aide/Tech Hours]])</f>
        <v>212.464</v>
      </c>
      <c r="T25" s="3">
        <v>191.25700000000001</v>
      </c>
      <c r="U25" s="3">
        <v>21.207000000000004</v>
      </c>
      <c r="V25" s="3">
        <v>0</v>
      </c>
      <c r="W25" s="3">
        <f>SUM(Table3[[#This Row],[RN Hours Contract]:[Med Aide Hours Contract]])</f>
        <v>0</v>
      </c>
      <c r="X25" s="3">
        <v>0</v>
      </c>
      <c r="Y25" s="3">
        <v>0</v>
      </c>
      <c r="Z25" s="3">
        <v>0</v>
      </c>
      <c r="AA25" s="3">
        <v>0</v>
      </c>
      <c r="AB25" s="3">
        <v>0</v>
      </c>
      <c r="AC25" s="3">
        <v>0</v>
      </c>
      <c r="AD25" s="3">
        <v>0</v>
      </c>
      <c r="AE25" s="3">
        <v>0</v>
      </c>
      <c r="AF25" t="s">
        <v>23</v>
      </c>
      <c r="AG25" s="13">
        <v>9</v>
      </c>
      <c r="AQ25"/>
    </row>
    <row r="26" spans="1:43" x14ac:dyDescent="0.2">
      <c r="A26" t="s">
        <v>41</v>
      </c>
      <c r="B26" t="s">
        <v>66</v>
      </c>
      <c r="C26" t="s">
        <v>94</v>
      </c>
      <c r="D26" t="s">
        <v>104</v>
      </c>
      <c r="E26" s="3">
        <v>69.655555555555551</v>
      </c>
      <c r="F26" s="3">
        <f>Table3[[#This Row],[Total Hours Nurse Staffing]]/Table3[[#This Row],[MDS Census]]</f>
        <v>4.2140692295421918</v>
      </c>
      <c r="G26" s="3">
        <f>Table3[[#This Row],[Total Direct Care Staff Hours]]/Table3[[#This Row],[MDS Census]]</f>
        <v>3.8108151220290321</v>
      </c>
      <c r="H26" s="3">
        <f>Table3[[#This Row],[Total RN Hours (w/ Admin, DON)]]/Table3[[#This Row],[MDS Census]]</f>
        <v>1.1276120593396075</v>
      </c>
      <c r="I26" s="3">
        <f>Table3[[#This Row],[RN Hours (excl. Admin, DON)]]/Table3[[#This Row],[MDS Census]]</f>
        <v>0.80092518743021224</v>
      </c>
      <c r="J26" s="3">
        <f t="shared" si="0"/>
        <v>293.5333333333333</v>
      </c>
      <c r="K26" s="3">
        <f>SUM(Table3[[#This Row],[RN Hours (excl. Admin, DON)]], Table3[[#This Row],[LPN Hours (excl. Admin)]], Table3[[#This Row],[CNA Hours]], Table3[[#This Row],[NA TR Hours]], Table3[[#This Row],[Med Aide/Tech Hours]])</f>
        <v>265.44444444444446</v>
      </c>
      <c r="L26" s="3">
        <f>SUM(Table3[[#This Row],[RN Hours (excl. Admin, DON)]:[RN DON Hours]])</f>
        <v>78.544444444444437</v>
      </c>
      <c r="M26" s="3">
        <v>55.788888888888891</v>
      </c>
      <c r="N26" s="3">
        <v>17.155555555555555</v>
      </c>
      <c r="O26" s="3">
        <v>5.6</v>
      </c>
      <c r="P26" s="3">
        <f>SUM(Table3[[#This Row],[LPN Hours (excl. Admin)]:[LPN Admin Hours]])</f>
        <v>19.652777777777779</v>
      </c>
      <c r="Q26" s="3">
        <v>14.319444444444445</v>
      </c>
      <c r="R26" s="3">
        <v>5.333333333333333</v>
      </c>
      <c r="S26" s="3">
        <f>SUM(Table3[[#This Row],[CNA Hours]], Table3[[#This Row],[NA TR Hours]], Table3[[#This Row],[Med Aide/Tech Hours]])</f>
        <v>195.33611111111111</v>
      </c>
      <c r="T26" s="3">
        <v>188.60555555555555</v>
      </c>
      <c r="U26" s="3">
        <v>6.7305555555555552</v>
      </c>
      <c r="V26" s="3">
        <v>0</v>
      </c>
      <c r="W26" s="3">
        <f>SUM(Table3[[#This Row],[RN Hours Contract]:[Med Aide Hours Contract]])</f>
        <v>0.71111111111111114</v>
      </c>
      <c r="X26" s="3">
        <v>0</v>
      </c>
      <c r="Y26" s="3">
        <v>0.71111111111111114</v>
      </c>
      <c r="Z26" s="3">
        <v>0</v>
      </c>
      <c r="AA26" s="3">
        <v>0</v>
      </c>
      <c r="AB26" s="3">
        <v>0</v>
      </c>
      <c r="AC26" s="3">
        <v>0</v>
      </c>
      <c r="AD26" s="3">
        <v>0</v>
      </c>
      <c r="AE26" s="3">
        <v>0</v>
      </c>
      <c r="AF26" t="s">
        <v>24</v>
      </c>
      <c r="AG26" s="13">
        <v>9</v>
      </c>
      <c r="AQ26"/>
    </row>
    <row r="27" spans="1:43" x14ac:dyDescent="0.2">
      <c r="A27" t="s">
        <v>41</v>
      </c>
      <c r="B27" t="s">
        <v>67</v>
      </c>
      <c r="C27" t="s">
        <v>87</v>
      </c>
      <c r="D27" t="s">
        <v>104</v>
      </c>
      <c r="E27" s="3">
        <v>26.866666666666667</v>
      </c>
      <c r="F27" s="3">
        <f>Table3[[#This Row],[Total Hours Nurse Staffing]]/Table3[[#This Row],[MDS Census]]</f>
        <v>5.9879114971050456</v>
      </c>
      <c r="G27" s="3">
        <f>Table3[[#This Row],[Total Direct Care Staff Hours]]/Table3[[#This Row],[MDS Census]]</f>
        <v>5.1922125723738626</v>
      </c>
      <c r="H27" s="3">
        <f>Table3[[#This Row],[Total RN Hours (w/ Admin, DON)]]/Table3[[#This Row],[MDS Census]]</f>
        <v>1.9411786600496277</v>
      </c>
      <c r="I27" s="3">
        <f>Table3[[#This Row],[RN Hours (excl. Admin, DON)]]/Table3[[#This Row],[MDS Census]]</f>
        <v>1.1454797353184449</v>
      </c>
      <c r="J27" s="3">
        <f t="shared" si="0"/>
        <v>160.87522222222222</v>
      </c>
      <c r="K27" s="3">
        <f>SUM(Table3[[#This Row],[RN Hours (excl. Admin, DON)]], Table3[[#This Row],[LPN Hours (excl. Admin)]], Table3[[#This Row],[CNA Hours]], Table3[[#This Row],[NA TR Hours]], Table3[[#This Row],[Med Aide/Tech Hours]])</f>
        <v>139.49744444444445</v>
      </c>
      <c r="L27" s="3">
        <f>SUM(Table3[[#This Row],[RN Hours (excl. Admin, DON)]:[RN DON Hours]])</f>
        <v>52.152999999999999</v>
      </c>
      <c r="M27" s="3">
        <v>30.775222222222222</v>
      </c>
      <c r="N27" s="3">
        <v>16.133333333333333</v>
      </c>
      <c r="O27" s="3">
        <v>5.2444444444444445</v>
      </c>
      <c r="P27" s="3">
        <f>SUM(Table3[[#This Row],[LPN Hours (excl. Admin)]:[LPN Admin Hours]])</f>
        <v>6.9361111111111109</v>
      </c>
      <c r="Q27" s="3">
        <v>6.9361111111111109</v>
      </c>
      <c r="R27" s="3">
        <v>0</v>
      </c>
      <c r="S27" s="3">
        <f>SUM(Table3[[#This Row],[CNA Hours]], Table3[[#This Row],[NA TR Hours]], Table3[[#This Row],[Med Aide/Tech Hours]])</f>
        <v>101.78611111111111</v>
      </c>
      <c r="T27" s="3">
        <v>101.78611111111111</v>
      </c>
      <c r="U27" s="3">
        <v>0</v>
      </c>
      <c r="V27" s="3">
        <v>0</v>
      </c>
      <c r="W27" s="3">
        <f>SUM(Table3[[#This Row],[RN Hours Contract]:[Med Aide Hours Contract]])</f>
        <v>0</v>
      </c>
      <c r="X27" s="3">
        <v>0</v>
      </c>
      <c r="Y27" s="3">
        <v>0</v>
      </c>
      <c r="Z27" s="3">
        <v>0</v>
      </c>
      <c r="AA27" s="3">
        <v>0</v>
      </c>
      <c r="AB27" s="3">
        <v>0</v>
      </c>
      <c r="AC27" s="3">
        <v>0</v>
      </c>
      <c r="AD27" s="3">
        <v>0</v>
      </c>
      <c r="AE27" s="3">
        <v>0</v>
      </c>
      <c r="AF27" t="s">
        <v>25</v>
      </c>
      <c r="AG27" s="13">
        <v>9</v>
      </c>
      <c r="AQ27"/>
    </row>
    <row r="28" spans="1:43" x14ac:dyDescent="0.2">
      <c r="A28" t="s">
        <v>41</v>
      </c>
      <c r="B28" t="s">
        <v>68</v>
      </c>
      <c r="C28" t="s">
        <v>92</v>
      </c>
      <c r="D28" t="s">
        <v>104</v>
      </c>
      <c r="E28" s="3">
        <v>62.2</v>
      </c>
      <c r="F28" s="3">
        <f>Table3[[#This Row],[Total Hours Nurse Staffing]]/Table3[[#This Row],[MDS Census]]</f>
        <v>4.008717399071096</v>
      </c>
      <c r="G28" s="3">
        <f>Table3[[#This Row],[Total Direct Care Staff Hours]]/Table3[[#This Row],[MDS Census]]</f>
        <v>3.6048231511254012</v>
      </c>
      <c r="H28" s="3">
        <f>Table3[[#This Row],[Total RN Hours (w/ Admin, DON)]]/Table3[[#This Row],[MDS Census]]</f>
        <v>1.5775276884601643</v>
      </c>
      <c r="I28" s="3">
        <f>Table3[[#This Row],[RN Hours (excl. Admin, DON)]]/Table3[[#This Row],[MDS Census]]</f>
        <v>1.1736334405144695</v>
      </c>
      <c r="J28" s="3">
        <f t="shared" si="0"/>
        <v>249.34222222222218</v>
      </c>
      <c r="K28" s="3">
        <f>SUM(Table3[[#This Row],[RN Hours (excl. Admin, DON)]], Table3[[#This Row],[LPN Hours (excl. Admin)]], Table3[[#This Row],[CNA Hours]], Table3[[#This Row],[NA TR Hours]], Table3[[#This Row],[Med Aide/Tech Hours]])</f>
        <v>224.21999999999997</v>
      </c>
      <c r="L28" s="3">
        <f>SUM(Table3[[#This Row],[RN Hours (excl. Admin, DON)]:[RN DON Hours]])</f>
        <v>98.12222222222222</v>
      </c>
      <c r="M28" s="3">
        <v>73</v>
      </c>
      <c r="N28" s="3">
        <v>19.522222222222222</v>
      </c>
      <c r="O28" s="3">
        <v>5.6</v>
      </c>
      <c r="P28" s="3">
        <f>SUM(Table3[[#This Row],[LPN Hours (excl. Admin)]:[LPN Admin Hours]])</f>
        <v>0</v>
      </c>
      <c r="Q28" s="3">
        <v>0</v>
      </c>
      <c r="R28" s="3">
        <v>0</v>
      </c>
      <c r="S28" s="3">
        <f>SUM(Table3[[#This Row],[CNA Hours]], Table3[[#This Row],[NA TR Hours]], Table3[[#This Row],[Med Aide/Tech Hours]])</f>
        <v>151.21999999999997</v>
      </c>
      <c r="T28" s="3">
        <v>142.2172222222222</v>
      </c>
      <c r="U28" s="3">
        <v>9.0027777777777782</v>
      </c>
      <c r="V28" s="3">
        <v>0</v>
      </c>
      <c r="W28" s="3">
        <f>SUM(Table3[[#This Row],[RN Hours Contract]:[Med Aide Hours Contract]])</f>
        <v>10.011111111111111</v>
      </c>
      <c r="X28" s="3">
        <v>0.44166666666666665</v>
      </c>
      <c r="Y28" s="3">
        <v>2.8</v>
      </c>
      <c r="Z28" s="3">
        <v>0</v>
      </c>
      <c r="AA28" s="3">
        <v>0</v>
      </c>
      <c r="AB28" s="3">
        <v>0</v>
      </c>
      <c r="AC28" s="3">
        <v>6.7694444444444448</v>
      </c>
      <c r="AD28" s="3">
        <v>0</v>
      </c>
      <c r="AE28" s="3">
        <v>0</v>
      </c>
      <c r="AF28" t="s">
        <v>26</v>
      </c>
      <c r="AG28" s="13">
        <v>9</v>
      </c>
      <c r="AQ28"/>
    </row>
    <row r="29" spans="1:43" x14ac:dyDescent="0.2">
      <c r="A29" t="s">
        <v>41</v>
      </c>
      <c r="B29" t="s">
        <v>69</v>
      </c>
      <c r="C29" t="s">
        <v>87</v>
      </c>
      <c r="D29" t="s">
        <v>104</v>
      </c>
      <c r="E29" s="3">
        <v>32.200000000000003</v>
      </c>
      <c r="F29" s="3">
        <f>Table3[[#This Row],[Total Hours Nurse Staffing]]/Table3[[#This Row],[MDS Census]]</f>
        <v>3.3050690131124911</v>
      </c>
      <c r="G29" s="3">
        <f>Table3[[#This Row],[Total Direct Care Staff Hours]]/Table3[[#This Row],[MDS Census]]</f>
        <v>2.8948723257418907</v>
      </c>
      <c r="H29" s="3">
        <f>Table3[[#This Row],[Total RN Hours (w/ Admin, DON)]]/Table3[[#This Row],[MDS Census]]</f>
        <v>0.85231193926846094</v>
      </c>
      <c r="I29" s="3">
        <f>Table3[[#This Row],[RN Hours (excl. Admin, DON)]]/Table3[[#This Row],[MDS Census]]</f>
        <v>0.44211525189786055</v>
      </c>
      <c r="J29" s="3">
        <f t="shared" si="0"/>
        <v>106.42322222222222</v>
      </c>
      <c r="K29" s="3">
        <f>SUM(Table3[[#This Row],[RN Hours (excl. Admin, DON)]], Table3[[#This Row],[LPN Hours (excl. Admin)]], Table3[[#This Row],[CNA Hours]], Table3[[#This Row],[NA TR Hours]], Table3[[#This Row],[Med Aide/Tech Hours]])</f>
        <v>93.214888888888893</v>
      </c>
      <c r="L29" s="3">
        <f>SUM(Table3[[#This Row],[RN Hours (excl. Admin, DON)]:[RN DON Hours]])</f>
        <v>27.444444444444446</v>
      </c>
      <c r="M29" s="3">
        <v>14.236111111111111</v>
      </c>
      <c r="N29" s="3">
        <v>8.4972222222222218</v>
      </c>
      <c r="O29" s="3">
        <v>4.7111111111111112</v>
      </c>
      <c r="P29" s="3">
        <f>SUM(Table3[[#This Row],[LPN Hours (excl. Admin)]:[LPN Admin Hours]])</f>
        <v>0</v>
      </c>
      <c r="Q29" s="3">
        <v>0</v>
      </c>
      <c r="R29" s="3">
        <v>0</v>
      </c>
      <c r="S29" s="3">
        <f>SUM(Table3[[#This Row],[CNA Hours]], Table3[[#This Row],[NA TR Hours]], Table3[[#This Row],[Med Aide/Tech Hours]])</f>
        <v>78.978777777777779</v>
      </c>
      <c r="T29" s="3">
        <v>78.978777777777779</v>
      </c>
      <c r="U29" s="3">
        <v>0</v>
      </c>
      <c r="V29" s="3">
        <v>0</v>
      </c>
      <c r="W29" s="3">
        <f>SUM(Table3[[#This Row],[RN Hours Contract]:[Med Aide Hours Contract]])</f>
        <v>5.8343333333333334</v>
      </c>
      <c r="X29" s="3">
        <v>0</v>
      </c>
      <c r="Y29" s="3">
        <v>0</v>
      </c>
      <c r="Z29" s="3">
        <v>0</v>
      </c>
      <c r="AA29" s="3">
        <v>0</v>
      </c>
      <c r="AB29" s="3">
        <v>0</v>
      </c>
      <c r="AC29" s="3">
        <v>5.8343333333333334</v>
      </c>
      <c r="AD29" s="3">
        <v>0</v>
      </c>
      <c r="AE29" s="3">
        <v>0</v>
      </c>
      <c r="AF29" t="s">
        <v>27</v>
      </c>
      <c r="AG29" s="13">
        <v>9</v>
      </c>
      <c r="AQ29"/>
    </row>
    <row r="30" spans="1:43" x14ac:dyDescent="0.2">
      <c r="A30" t="s">
        <v>41</v>
      </c>
      <c r="B30" t="s">
        <v>70</v>
      </c>
      <c r="C30" t="s">
        <v>95</v>
      </c>
      <c r="D30" t="s">
        <v>104</v>
      </c>
      <c r="E30" s="3">
        <v>78.966666666666669</v>
      </c>
      <c r="F30" s="3">
        <f>Table3[[#This Row],[Total Hours Nurse Staffing]]/Table3[[#This Row],[MDS Census]]</f>
        <v>4.2610904741803859</v>
      </c>
      <c r="G30" s="3">
        <f>Table3[[#This Row],[Total Direct Care Staff Hours]]/Table3[[#This Row],[MDS Census]]</f>
        <v>3.890719009427325</v>
      </c>
      <c r="H30" s="3">
        <f>Table3[[#This Row],[Total RN Hours (w/ Admin, DON)]]/Table3[[#This Row],[MDS Census]]</f>
        <v>1.7715576192486278</v>
      </c>
      <c r="I30" s="3">
        <f>Table3[[#This Row],[RN Hours (excl. Admin, DON)]]/Table3[[#This Row],[MDS Census]]</f>
        <v>1.4011861544955677</v>
      </c>
      <c r="J30" s="3">
        <f t="shared" si="0"/>
        <v>336.48411111111113</v>
      </c>
      <c r="K30" s="3">
        <f>SUM(Table3[[#This Row],[RN Hours (excl. Admin, DON)]], Table3[[#This Row],[LPN Hours (excl. Admin)]], Table3[[#This Row],[CNA Hours]], Table3[[#This Row],[NA TR Hours]], Table3[[#This Row],[Med Aide/Tech Hours]])</f>
        <v>307.23711111111112</v>
      </c>
      <c r="L30" s="3">
        <f>SUM(Table3[[#This Row],[RN Hours (excl. Admin, DON)]:[RN DON Hours]])</f>
        <v>139.89399999999998</v>
      </c>
      <c r="M30" s="3">
        <v>110.64699999999999</v>
      </c>
      <c r="N30" s="3">
        <v>23.646999999999998</v>
      </c>
      <c r="O30" s="3">
        <v>5.6</v>
      </c>
      <c r="P30" s="3">
        <f>SUM(Table3[[#This Row],[LPN Hours (excl. Admin)]:[LPN Admin Hours]])</f>
        <v>36.282000000000004</v>
      </c>
      <c r="Q30" s="3">
        <v>36.282000000000004</v>
      </c>
      <c r="R30" s="3">
        <v>0</v>
      </c>
      <c r="S30" s="3">
        <f>SUM(Table3[[#This Row],[CNA Hours]], Table3[[#This Row],[NA TR Hours]], Table3[[#This Row],[Med Aide/Tech Hours]])</f>
        <v>160.30811111111112</v>
      </c>
      <c r="T30" s="3">
        <v>157.59977777777777</v>
      </c>
      <c r="U30" s="3">
        <v>2.7083333333333335</v>
      </c>
      <c r="V30" s="3">
        <v>0</v>
      </c>
      <c r="W30" s="3">
        <f>SUM(Table3[[#This Row],[RN Hours Contract]:[Med Aide Hours Contract]])</f>
        <v>0</v>
      </c>
      <c r="X30" s="3">
        <v>0</v>
      </c>
      <c r="Y30" s="3">
        <v>0</v>
      </c>
      <c r="Z30" s="3">
        <v>0</v>
      </c>
      <c r="AA30" s="3">
        <v>0</v>
      </c>
      <c r="AB30" s="3">
        <v>0</v>
      </c>
      <c r="AC30" s="3">
        <v>0</v>
      </c>
      <c r="AD30" s="3">
        <v>0</v>
      </c>
      <c r="AE30" s="3">
        <v>0</v>
      </c>
      <c r="AF30" t="s">
        <v>28</v>
      </c>
      <c r="AG30" s="13">
        <v>9</v>
      </c>
      <c r="AQ30"/>
    </row>
    <row r="31" spans="1:43" x14ac:dyDescent="0.2">
      <c r="A31" t="s">
        <v>41</v>
      </c>
      <c r="B31" t="s">
        <v>71</v>
      </c>
      <c r="C31" t="s">
        <v>96</v>
      </c>
      <c r="D31" t="s">
        <v>101</v>
      </c>
      <c r="E31" s="3">
        <v>70.766666666666666</v>
      </c>
      <c r="F31" s="3">
        <f>Table3[[#This Row],[Total Hours Nurse Staffing]]/Table3[[#This Row],[MDS Census]]</f>
        <v>3.4777154969382948</v>
      </c>
      <c r="G31" s="3">
        <f>Table3[[#This Row],[Total Direct Care Staff Hours]]/Table3[[#This Row],[MDS Census]]</f>
        <v>3.1681080232375574</v>
      </c>
      <c r="H31" s="3">
        <f>Table3[[#This Row],[Total RN Hours (w/ Admin, DON)]]/Table3[[#This Row],[MDS Census]]</f>
        <v>1.0484989794316217</v>
      </c>
      <c r="I31" s="3">
        <f>Table3[[#This Row],[RN Hours (excl. Admin, DON)]]/Table3[[#This Row],[MDS Census]]</f>
        <v>0.81801381692573405</v>
      </c>
      <c r="J31" s="3">
        <f t="shared" si="0"/>
        <v>246.10633333333334</v>
      </c>
      <c r="K31" s="3">
        <f>SUM(Table3[[#This Row],[RN Hours (excl. Admin, DON)]], Table3[[#This Row],[LPN Hours (excl. Admin)]], Table3[[#This Row],[CNA Hours]], Table3[[#This Row],[NA TR Hours]], Table3[[#This Row],[Med Aide/Tech Hours]])</f>
        <v>224.19644444444447</v>
      </c>
      <c r="L31" s="3">
        <f>SUM(Table3[[#This Row],[RN Hours (excl. Admin, DON)]:[RN DON Hours]])</f>
        <v>74.198777777777764</v>
      </c>
      <c r="M31" s="3">
        <v>57.888111111111115</v>
      </c>
      <c r="N31" s="3">
        <v>10.710666666666661</v>
      </c>
      <c r="O31" s="3">
        <v>5.6</v>
      </c>
      <c r="P31" s="3">
        <f>SUM(Table3[[#This Row],[LPN Hours (excl. Admin)]:[LPN Admin Hours]])</f>
        <v>51.097444444444449</v>
      </c>
      <c r="Q31" s="3">
        <v>45.498222222222225</v>
      </c>
      <c r="R31" s="3">
        <v>5.5992222222222212</v>
      </c>
      <c r="S31" s="3">
        <f>SUM(Table3[[#This Row],[CNA Hours]], Table3[[#This Row],[NA TR Hours]], Table3[[#This Row],[Med Aide/Tech Hours]])</f>
        <v>120.81011111111111</v>
      </c>
      <c r="T31" s="3">
        <v>115.575</v>
      </c>
      <c r="U31" s="3">
        <v>5.2351111111111122</v>
      </c>
      <c r="V31" s="3">
        <v>0</v>
      </c>
      <c r="W31" s="3">
        <f>SUM(Table3[[#This Row],[RN Hours Contract]:[Med Aide Hours Contract]])</f>
        <v>0</v>
      </c>
      <c r="X31" s="3">
        <v>0</v>
      </c>
      <c r="Y31" s="3">
        <v>0</v>
      </c>
      <c r="Z31" s="3">
        <v>0</v>
      </c>
      <c r="AA31" s="3">
        <v>0</v>
      </c>
      <c r="AB31" s="3">
        <v>0</v>
      </c>
      <c r="AC31" s="3">
        <v>0</v>
      </c>
      <c r="AD31" s="3">
        <v>0</v>
      </c>
      <c r="AE31" s="3">
        <v>0</v>
      </c>
      <c r="AF31" t="s">
        <v>29</v>
      </c>
      <c r="AG31" s="13">
        <v>9</v>
      </c>
      <c r="AQ31"/>
    </row>
    <row r="32" spans="1:43" x14ac:dyDescent="0.2">
      <c r="A32" t="s">
        <v>41</v>
      </c>
      <c r="B32" t="s">
        <v>72</v>
      </c>
      <c r="C32" t="s">
        <v>87</v>
      </c>
      <c r="D32" t="s">
        <v>104</v>
      </c>
      <c r="E32" s="3">
        <v>12.466666666666667</v>
      </c>
      <c r="F32" s="3">
        <f>Table3[[#This Row],[Total Hours Nurse Staffing]]/Table3[[#This Row],[MDS Census]]</f>
        <v>7.5456773618538309</v>
      </c>
      <c r="G32" s="3">
        <f>Table3[[#This Row],[Total Direct Care Staff Hours]]/Table3[[#This Row],[MDS Census]]</f>
        <v>7.0206149732620311</v>
      </c>
      <c r="H32" s="3">
        <f>Table3[[#This Row],[Total RN Hours (w/ Admin, DON)]]/Table3[[#This Row],[MDS Census]]</f>
        <v>2.2963368983957215</v>
      </c>
      <c r="I32" s="3">
        <f>Table3[[#This Row],[RN Hours (excl. Admin, DON)]]/Table3[[#This Row],[MDS Census]]</f>
        <v>1.7712745098039213</v>
      </c>
      <c r="J32" s="3">
        <f t="shared" si="0"/>
        <v>94.069444444444429</v>
      </c>
      <c r="K32" s="3">
        <f>SUM(Table3[[#This Row],[RN Hours (excl. Admin, DON)]], Table3[[#This Row],[LPN Hours (excl. Admin)]], Table3[[#This Row],[CNA Hours]], Table3[[#This Row],[NA TR Hours]], Table3[[#This Row],[Med Aide/Tech Hours]])</f>
        <v>87.523666666666657</v>
      </c>
      <c r="L32" s="3">
        <f>SUM(Table3[[#This Row],[RN Hours (excl. Admin, DON)]:[RN DON Hours]])</f>
        <v>28.627666666666663</v>
      </c>
      <c r="M32" s="3">
        <v>22.081888888888887</v>
      </c>
      <c r="N32" s="3">
        <v>4.6684444444444448</v>
      </c>
      <c r="O32" s="3">
        <v>1.8773333333333335</v>
      </c>
      <c r="P32" s="3">
        <f>SUM(Table3[[#This Row],[LPN Hours (excl. Admin)]:[LPN Admin Hours]])</f>
        <v>5.8781111111111111</v>
      </c>
      <c r="Q32" s="3">
        <v>5.8781111111111111</v>
      </c>
      <c r="R32" s="3">
        <v>0</v>
      </c>
      <c r="S32" s="3">
        <f>SUM(Table3[[#This Row],[CNA Hours]], Table3[[#This Row],[NA TR Hours]], Table3[[#This Row],[Med Aide/Tech Hours]])</f>
        <v>59.563666666666663</v>
      </c>
      <c r="T32" s="3">
        <v>59.563666666666663</v>
      </c>
      <c r="U32" s="3">
        <v>0</v>
      </c>
      <c r="V32" s="3">
        <v>0</v>
      </c>
      <c r="W32" s="3">
        <f>SUM(Table3[[#This Row],[RN Hours Contract]:[Med Aide Hours Contract]])</f>
        <v>0</v>
      </c>
      <c r="X32" s="3">
        <v>0</v>
      </c>
      <c r="Y32" s="3">
        <v>0</v>
      </c>
      <c r="Z32" s="3">
        <v>0</v>
      </c>
      <c r="AA32" s="3">
        <v>0</v>
      </c>
      <c r="AB32" s="3">
        <v>0</v>
      </c>
      <c r="AC32" s="3">
        <v>0</v>
      </c>
      <c r="AD32" s="3">
        <v>0</v>
      </c>
      <c r="AE32" s="3">
        <v>0</v>
      </c>
      <c r="AF32" t="s">
        <v>30</v>
      </c>
      <c r="AG32" s="13">
        <v>9</v>
      </c>
      <c r="AQ32"/>
    </row>
    <row r="33" spans="1:43" x14ac:dyDescent="0.2">
      <c r="A33" t="s">
        <v>41</v>
      </c>
      <c r="B33" t="s">
        <v>73</v>
      </c>
      <c r="C33" t="s">
        <v>97</v>
      </c>
      <c r="D33" t="s">
        <v>102</v>
      </c>
      <c r="E33" s="3">
        <v>66.577777777777783</v>
      </c>
      <c r="F33" s="3">
        <f>Table3[[#This Row],[Total Hours Nurse Staffing]]/Table3[[#This Row],[MDS Census]]</f>
        <v>5.0371745660881171</v>
      </c>
      <c r="G33" s="3">
        <f>Table3[[#This Row],[Total Direct Care Staff Hours]]/Table3[[#This Row],[MDS Census]]</f>
        <v>4.5703020694259013</v>
      </c>
      <c r="H33" s="3">
        <f>Table3[[#This Row],[Total RN Hours (w/ Admin, DON)]]/Table3[[#This Row],[MDS Census]]</f>
        <v>0.93224299065420557</v>
      </c>
      <c r="I33" s="3">
        <f>Table3[[#This Row],[RN Hours (excl. Admin, DON)]]/Table3[[#This Row],[MDS Census]]</f>
        <v>0.61628004005340453</v>
      </c>
      <c r="J33" s="3">
        <f t="shared" si="0"/>
        <v>335.36388888888888</v>
      </c>
      <c r="K33" s="3">
        <f>SUM(Table3[[#This Row],[RN Hours (excl. Admin, DON)]], Table3[[#This Row],[LPN Hours (excl. Admin)]], Table3[[#This Row],[CNA Hours]], Table3[[#This Row],[NA TR Hours]], Table3[[#This Row],[Med Aide/Tech Hours]])</f>
        <v>304.28055555555557</v>
      </c>
      <c r="L33" s="3">
        <f>SUM(Table3[[#This Row],[RN Hours (excl. Admin, DON)]:[RN DON Hours]])</f>
        <v>62.06666666666667</v>
      </c>
      <c r="M33" s="3">
        <v>41.030555555555559</v>
      </c>
      <c r="N33" s="3">
        <v>21.036111111111111</v>
      </c>
      <c r="O33" s="3">
        <v>0</v>
      </c>
      <c r="P33" s="3">
        <f>SUM(Table3[[#This Row],[LPN Hours (excl. Admin)]:[LPN Admin Hours]])</f>
        <v>70.341666666666669</v>
      </c>
      <c r="Q33" s="3">
        <v>60.294444444444444</v>
      </c>
      <c r="R33" s="3">
        <v>10.047222222222222</v>
      </c>
      <c r="S33" s="3">
        <f>SUM(Table3[[#This Row],[CNA Hours]], Table3[[#This Row],[NA TR Hours]], Table3[[#This Row],[Med Aide/Tech Hours]])</f>
        <v>202.95555555555555</v>
      </c>
      <c r="T33" s="3">
        <v>174.58055555555555</v>
      </c>
      <c r="U33" s="3">
        <v>28.375</v>
      </c>
      <c r="V33" s="3">
        <v>0</v>
      </c>
      <c r="W33" s="3">
        <f>SUM(Table3[[#This Row],[RN Hours Contract]:[Med Aide Hours Contract]])</f>
        <v>17.211111111111112</v>
      </c>
      <c r="X33" s="3">
        <v>0</v>
      </c>
      <c r="Y33" s="3">
        <v>0</v>
      </c>
      <c r="Z33" s="3">
        <v>0</v>
      </c>
      <c r="AA33" s="3">
        <v>17.211111111111112</v>
      </c>
      <c r="AB33" s="3">
        <v>0</v>
      </c>
      <c r="AC33" s="3">
        <v>0</v>
      </c>
      <c r="AD33" s="3">
        <v>0</v>
      </c>
      <c r="AE33" s="3">
        <v>0</v>
      </c>
      <c r="AF33" t="s">
        <v>31</v>
      </c>
      <c r="AG33" s="13">
        <v>9</v>
      </c>
      <c r="AQ33"/>
    </row>
    <row r="34" spans="1:43" x14ac:dyDescent="0.2">
      <c r="A34" t="s">
        <v>41</v>
      </c>
      <c r="B34" t="s">
        <v>74</v>
      </c>
      <c r="C34" t="s">
        <v>98</v>
      </c>
      <c r="D34" t="s">
        <v>104</v>
      </c>
      <c r="E34" s="3">
        <v>27.844444444444445</v>
      </c>
      <c r="F34" s="3">
        <f>Table3[[#This Row],[Total Hours Nurse Staffing]]/Table3[[#This Row],[MDS Census]]</f>
        <v>10.555355147645651</v>
      </c>
      <c r="G34" s="3">
        <f>Table3[[#This Row],[Total Direct Care Staff Hours]]/Table3[[#This Row],[MDS Census]]</f>
        <v>10.253679169992019</v>
      </c>
      <c r="H34" s="3">
        <f>Table3[[#This Row],[Total RN Hours (w/ Admin, DON)]]/Table3[[#This Row],[MDS Census]]</f>
        <v>5.7816241021548285</v>
      </c>
      <c r="I34" s="3">
        <f>Table3[[#This Row],[RN Hours (excl. Admin, DON)]]/Table3[[#This Row],[MDS Census]]</f>
        <v>5.4799481245011972</v>
      </c>
      <c r="J34" s="3">
        <f t="shared" si="0"/>
        <v>293.90800000000002</v>
      </c>
      <c r="K34" s="3">
        <f>SUM(Table3[[#This Row],[RN Hours (excl. Admin, DON)]], Table3[[#This Row],[LPN Hours (excl. Admin)]], Table3[[#This Row],[CNA Hours]], Table3[[#This Row],[NA TR Hours]], Table3[[#This Row],[Med Aide/Tech Hours]])</f>
        <v>285.50799999999998</v>
      </c>
      <c r="L34" s="3">
        <f>SUM(Table3[[#This Row],[RN Hours (excl. Admin, DON)]:[RN DON Hours]])</f>
        <v>160.98611111111111</v>
      </c>
      <c r="M34" s="3">
        <v>152.58611111111111</v>
      </c>
      <c r="N34" s="3">
        <v>0.57777777777777772</v>
      </c>
      <c r="O34" s="3">
        <v>7.822222222222222</v>
      </c>
      <c r="P34" s="3">
        <f>SUM(Table3[[#This Row],[LPN Hours (excl. Admin)]:[LPN Admin Hours]])</f>
        <v>11.102777777777778</v>
      </c>
      <c r="Q34" s="3">
        <v>11.102777777777778</v>
      </c>
      <c r="R34" s="3">
        <v>0</v>
      </c>
      <c r="S34" s="3">
        <f>SUM(Table3[[#This Row],[CNA Hours]], Table3[[#This Row],[NA TR Hours]], Table3[[#This Row],[Med Aide/Tech Hours]])</f>
        <v>121.8191111111111</v>
      </c>
      <c r="T34" s="3">
        <v>121.8191111111111</v>
      </c>
      <c r="U34" s="3">
        <v>0</v>
      </c>
      <c r="V34" s="3">
        <v>0</v>
      </c>
      <c r="W34" s="3">
        <f>SUM(Table3[[#This Row],[RN Hours Contract]:[Med Aide Hours Contract]])</f>
        <v>25.605555555555558</v>
      </c>
      <c r="X34" s="3">
        <v>0</v>
      </c>
      <c r="Y34" s="3">
        <v>0.57777777777777772</v>
      </c>
      <c r="Z34" s="3">
        <v>0</v>
      </c>
      <c r="AA34" s="3">
        <v>0</v>
      </c>
      <c r="AB34" s="3">
        <v>0</v>
      </c>
      <c r="AC34" s="3">
        <v>25.027777777777779</v>
      </c>
      <c r="AD34" s="3">
        <v>0</v>
      </c>
      <c r="AE34" s="3">
        <v>0</v>
      </c>
      <c r="AF34" t="s">
        <v>32</v>
      </c>
      <c r="AG34" s="13">
        <v>9</v>
      </c>
      <c r="AQ34"/>
    </row>
    <row r="35" spans="1:43" x14ac:dyDescent="0.2">
      <c r="A35" t="s">
        <v>41</v>
      </c>
      <c r="B35" t="s">
        <v>75</v>
      </c>
      <c r="C35" t="s">
        <v>87</v>
      </c>
      <c r="D35" t="s">
        <v>104</v>
      </c>
      <c r="E35" s="3">
        <v>87.833333333333329</v>
      </c>
      <c r="F35" s="3">
        <f>Table3[[#This Row],[Total Hours Nurse Staffing]]/Table3[[#This Row],[MDS Census]]</f>
        <v>4.9492726122707147</v>
      </c>
      <c r="G35" s="3">
        <f>Table3[[#This Row],[Total Direct Care Staff Hours]]/Table3[[#This Row],[MDS Census]]</f>
        <v>4.5313409234661606</v>
      </c>
      <c r="H35" s="3">
        <f>Table3[[#This Row],[Total RN Hours (w/ Admin, DON)]]/Table3[[#This Row],[MDS Census]]</f>
        <v>2.0289690069576216</v>
      </c>
      <c r="I35" s="3">
        <f>Table3[[#This Row],[RN Hours (excl. Admin, DON)]]/Table3[[#This Row],[MDS Census]]</f>
        <v>1.6110373181530677</v>
      </c>
      <c r="J35" s="3">
        <f t="shared" si="0"/>
        <v>434.71111111111111</v>
      </c>
      <c r="K35" s="3">
        <f>SUM(Table3[[#This Row],[RN Hours (excl. Admin, DON)]], Table3[[#This Row],[LPN Hours (excl. Admin)]], Table3[[#This Row],[CNA Hours]], Table3[[#This Row],[NA TR Hours]], Table3[[#This Row],[Med Aide/Tech Hours]])</f>
        <v>398.00277777777774</v>
      </c>
      <c r="L35" s="3">
        <f>SUM(Table3[[#This Row],[RN Hours (excl. Admin, DON)]:[RN DON Hours]])</f>
        <v>178.21111111111108</v>
      </c>
      <c r="M35" s="3">
        <v>141.50277777777777</v>
      </c>
      <c r="N35" s="3">
        <v>31.108333333333334</v>
      </c>
      <c r="O35" s="3">
        <v>5.6</v>
      </c>
      <c r="P35" s="3">
        <f>SUM(Table3[[#This Row],[LPN Hours (excl. Admin)]:[LPN Admin Hours]])</f>
        <v>0</v>
      </c>
      <c r="Q35" s="3">
        <v>0</v>
      </c>
      <c r="R35" s="3">
        <v>0</v>
      </c>
      <c r="S35" s="3">
        <f>SUM(Table3[[#This Row],[CNA Hours]], Table3[[#This Row],[NA TR Hours]], Table3[[#This Row],[Med Aide/Tech Hours]])</f>
        <v>256.5</v>
      </c>
      <c r="T35" s="3">
        <v>256.5</v>
      </c>
      <c r="U35" s="3">
        <v>0</v>
      </c>
      <c r="V35" s="3">
        <v>0</v>
      </c>
      <c r="W35" s="3">
        <f>SUM(Table3[[#This Row],[RN Hours Contract]:[Med Aide Hours Contract]])</f>
        <v>0</v>
      </c>
      <c r="X35" s="3">
        <v>0</v>
      </c>
      <c r="Y35" s="3">
        <v>0</v>
      </c>
      <c r="Z35" s="3">
        <v>0</v>
      </c>
      <c r="AA35" s="3">
        <v>0</v>
      </c>
      <c r="AB35" s="3">
        <v>0</v>
      </c>
      <c r="AC35" s="3">
        <v>0</v>
      </c>
      <c r="AD35" s="3">
        <v>0</v>
      </c>
      <c r="AE35" s="3">
        <v>0</v>
      </c>
      <c r="AF35" t="s">
        <v>33</v>
      </c>
      <c r="AG35" s="13">
        <v>9</v>
      </c>
      <c r="AQ35"/>
    </row>
    <row r="36" spans="1:43" x14ac:dyDescent="0.2">
      <c r="A36" t="s">
        <v>41</v>
      </c>
      <c r="B36" t="s">
        <v>76</v>
      </c>
      <c r="C36" t="s">
        <v>89</v>
      </c>
      <c r="D36" t="s">
        <v>103</v>
      </c>
      <c r="E36" s="3">
        <v>42.422222222222224</v>
      </c>
      <c r="F36" s="3">
        <f>Table3[[#This Row],[Total Hours Nurse Staffing]]/Table3[[#This Row],[MDS Census]]</f>
        <v>4.0337035096909375</v>
      </c>
      <c r="G36" s="3">
        <f>Table3[[#This Row],[Total Direct Care Staff Hours]]/Table3[[#This Row],[MDS Census]]</f>
        <v>3.894256155055003</v>
      </c>
      <c r="H36" s="3">
        <f>Table3[[#This Row],[Total RN Hours (w/ Admin, DON)]]/Table3[[#This Row],[MDS Census]]</f>
        <v>1.1327056050288109</v>
      </c>
      <c r="I36" s="3">
        <f>Table3[[#This Row],[RN Hours (excl. Admin, DON)]]/Table3[[#This Row],[MDS Census]]</f>
        <v>1.0106102671555788</v>
      </c>
      <c r="J36" s="3">
        <f t="shared" si="0"/>
        <v>171.11866666666668</v>
      </c>
      <c r="K36" s="3">
        <f>SUM(Table3[[#This Row],[RN Hours (excl. Admin, DON)]], Table3[[#This Row],[LPN Hours (excl. Admin)]], Table3[[#This Row],[CNA Hours]], Table3[[#This Row],[NA TR Hours]], Table3[[#This Row],[Med Aide/Tech Hours]])</f>
        <v>165.20300000000003</v>
      </c>
      <c r="L36" s="3">
        <f>SUM(Table3[[#This Row],[RN Hours (excl. Admin, DON)]:[RN DON Hours]])</f>
        <v>48.05188888888889</v>
      </c>
      <c r="M36" s="3">
        <v>42.872333333333337</v>
      </c>
      <c r="N36" s="3">
        <v>2.4222222222222225E-2</v>
      </c>
      <c r="O36" s="3">
        <v>5.155333333333334</v>
      </c>
      <c r="P36" s="3">
        <f>SUM(Table3[[#This Row],[LPN Hours (excl. Admin)]:[LPN Admin Hours]])</f>
        <v>6.9146666666666672</v>
      </c>
      <c r="Q36" s="3">
        <v>6.1785555555555565</v>
      </c>
      <c r="R36" s="3">
        <v>0.73611111111111116</v>
      </c>
      <c r="S36" s="3">
        <f>SUM(Table3[[#This Row],[CNA Hours]], Table3[[#This Row],[NA TR Hours]], Table3[[#This Row],[Med Aide/Tech Hours]])</f>
        <v>116.15211111111111</v>
      </c>
      <c r="T36" s="3">
        <v>108.67122222222223</v>
      </c>
      <c r="U36" s="3">
        <v>0</v>
      </c>
      <c r="V36" s="3">
        <v>7.4808888888888871</v>
      </c>
      <c r="W36" s="3">
        <f>SUM(Table3[[#This Row],[RN Hours Contract]:[Med Aide Hours Contract]])</f>
        <v>0.40833333333333333</v>
      </c>
      <c r="X36" s="3">
        <v>0.40833333333333333</v>
      </c>
      <c r="Y36" s="3">
        <v>0</v>
      </c>
      <c r="Z36" s="3">
        <v>0</v>
      </c>
      <c r="AA36" s="3">
        <v>0</v>
      </c>
      <c r="AB36" s="3">
        <v>0</v>
      </c>
      <c r="AC36" s="3">
        <v>0</v>
      </c>
      <c r="AD36" s="3">
        <v>0</v>
      </c>
      <c r="AE36" s="3">
        <v>0</v>
      </c>
      <c r="AF36" t="s">
        <v>34</v>
      </c>
      <c r="AG36" s="13">
        <v>9</v>
      </c>
      <c r="AQ36"/>
    </row>
    <row r="37" spans="1:43" x14ac:dyDescent="0.2">
      <c r="A37" t="s">
        <v>41</v>
      </c>
      <c r="B37" t="s">
        <v>77</v>
      </c>
      <c r="C37" t="s">
        <v>99</v>
      </c>
      <c r="D37" t="s">
        <v>103</v>
      </c>
      <c r="E37" s="3">
        <v>57.31111111111111</v>
      </c>
      <c r="F37" s="3">
        <f>Table3[[#This Row],[Total Hours Nurse Staffing]]/Table3[[#This Row],[MDS Census]]</f>
        <v>4.2887747188832881</v>
      </c>
      <c r="G37" s="3">
        <f>Table3[[#This Row],[Total Direct Care Staff Hours]]/Table3[[#This Row],[MDS Census]]</f>
        <v>3.9681562621171</v>
      </c>
      <c r="H37" s="3">
        <f>Table3[[#This Row],[Total RN Hours (w/ Admin, DON)]]/Table3[[#This Row],[MDS Census]]</f>
        <v>1.3388425746413339</v>
      </c>
      <c r="I37" s="3">
        <f>Table3[[#This Row],[RN Hours (excl. Admin, DON)]]/Table3[[#This Row],[MDS Census]]</f>
        <v>1.0182241178751454</v>
      </c>
      <c r="J37" s="3">
        <f t="shared" si="0"/>
        <v>245.79444444444445</v>
      </c>
      <c r="K37" s="3">
        <f>SUM(Table3[[#This Row],[RN Hours (excl. Admin, DON)]], Table3[[#This Row],[LPN Hours (excl. Admin)]], Table3[[#This Row],[CNA Hours]], Table3[[#This Row],[NA TR Hours]], Table3[[#This Row],[Med Aide/Tech Hours]])</f>
        <v>227.41944444444445</v>
      </c>
      <c r="L37" s="3">
        <f>SUM(Table3[[#This Row],[RN Hours (excl. Admin, DON)]:[RN DON Hours]])</f>
        <v>76.730555555555554</v>
      </c>
      <c r="M37" s="3">
        <v>58.355555555555554</v>
      </c>
      <c r="N37" s="3">
        <v>13.130555555555556</v>
      </c>
      <c r="O37" s="3">
        <v>5.2444444444444445</v>
      </c>
      <c r="P37" s="3">
        <f>SUM(Table3[[#This Row],[LPN Hours (excl. Admin)]:[LPN Admin Hours]])</f>
        <v>21.755555555555556</v>
      </c>
      <c r="Q37" s="3">
        <v>21.755555555555556</v>
      </c>
      <c r="R37" s="3">
        <v>0</v>
      </c>
      <c r="S37" s="3">
        <f>SUM(Table3[[#This Row],[CNA Hours]], Table3[[#This Row],[NA TR Hours]], Table3[[#This Row],[Med Aide/Tech Hours]])</f>
        <v>147.30833333333334</v>
      </c>
      <c r="T37" s="3">
        <v>147.24444444444444</v>
      </c>
      <c r="U37" s="3">
        <v>6.3888888888888884E-2</v>
      </c>
      <c r="V37" s="3">
        <v>0</v>
      </c>
      <c r="W37" s="3">
        <f>SUM(Table3[[#This Row],[RN Hours Contract]:[Med Aide Hours Contract]])</f>
        <v>0</v>
      </c>
      <c r="X37" s="3">
        <v>0</v>
      </c>
      <c r="Y37" s="3">
        <v>0</v>
      </c>
      <c r="Z37" s="3">
        <v>0</v>
      </c>
      <c r="AA37" s="3">
        <v>0</v>
      </c>
      <c r="AB37" s="3">
        <v>0</v>
      </c>
      <c r="AC37" s="3">
        <v>0</v>
      </c>
      <c r="AD37" s="3">
        <v>0</v>
      </c>
      <c r="AE37" s="3">
        <v>0</v>
      </c>
      <c r="AF37" t="s">
        <v>35</v>
      </c>
      <c r="AG37" s="13">
        <v>9</v>
      </c>
      <c r="AQ37"/>
    </row>
    <row r="38" spans="1:43" x14ac:dyDescent="0.2">
      <c r="A38" t="s">
        <v>41</v>
      </c>
      <c r="B38" t="s">
        <v>78</v>
      </c>
      <c r="C38" t="s">
        <v>87</v>
      </c>
      <c r="D38" t="s">
        <v>104</v>
      </c>
      <c r="E38" s="3">
        <v>38.333333333333336</v>
      </c>
      <c r="F38" s="3">
        <f>Table3[[#This Row],[Total Hours Nurse Staffing]]/Table3[[#This Row],[MDS Census]]</f>
        <v>5.695295652173912</v>
      </c>
      <c r="G38" s="3">
        <f>Table3[[#This Row],[Total Direct Care Staff Hours]]/Table3[[#This Row],[MDS Census]]</f>
        <v>5.3127159420289845</v>
      </c>
      <c r="H38" s="3">
        <f>Table3[[#This Row],[Total RN Hours (w/ Admin, DON)]]/Table3[[#This Row],[MDS Census]]</f>
        <v>2.0715565217391303</v>
      </c>
      <c r="I38" s="3">
        <f>Table3[[#This Row],[RN Hours (excl. Admin, DON)]]/Table3[[#This Row],[MDS Census]]</f>
        <v>1.6889768115942028</v>
      </c>
      <c r="J38" s="3">
        <f t="shared" si="0"/>
        <v>218.31966666666665</v>
      </c>
      <c r="K38" s="3">
        <f>SUM(Table3[[#This Row],[RN Hours (excl. Admin, DON)]], Table3[[#This Row],[LPN Hours (excl. Admin)]], Table3[[#This Row],[CNA Hours]], Table3[[#This Row],[NA TR Hours]], Table3[[#This Row],[Med Aide/Tech Hours]])</f>
        <v>203.65411111111109</v>
      </c>
      <c r="L38" s="3">
        <f>SUM(Table3[[#This Row],[RN Hours (excl. Admin, DON)]:[RN DON Hours]])</f>
        <v>79.409666666666666</v>
      </c>
      <c r="M38" s="3">
        <v>64.74411111111111</v>
      </c>
      <c r="N38" s="3">
        <v>10.082222222222223</v>
      </c>
      <c r="O38" s="3">
        <v>4.583333333333333</v>
      </c>
      <c r="P38" s="3">
        <f>SUM(Table3[[#This Row],[LPN Hours (excl. Admin)]:[LPN Admin Hours]])</f>
        <v>9.5076666666666672</v>
      </c>
      <c r="Q38" s="3">
        <v>9.5076666666666672</v>
      </c>
      <c r="R38" s="3">
        <v>0</v>
      </c>
      <c r="S38" s="3">
        <f>SUM(Table3[[#This Row],[CNA Hours]], Table3[[#This Row],[NA TR Hours]], Table3[[#This Row],[Med Aide/Tech Hours]])</f>
        <v>129.40233333333333</v>
      </c>
      <c r="T38" s="3">
        <v>129.40233333333333</v>
      </c>
      <c r="U38" s="3">
        <v>0</v>
      </c>
      <c r="V38" s="3">
        <v>0</v>
      </c>
      <c r="W38" s="3">
        <f>SUM(Table3[[#This Row],[RN Hours Contract]:[Med Aide Hours Contract]])</f>
        <v>2.1388888888888888</v>
      </c>
      <c r="X38" s="3">
        <v>0</v>
      </c>
      <c r="Y38" s="3">
        <v>0</v>
      </c>
      <c r="Z38" s="3">
        <v>0</v>
      </c>
      <c r="AA38" s="3">
        <v>0</v>
      </c>
      <c r="AB38" s="3">
        <v>0</v>
      </c>
      <c r="AC38" s="3">
        <v>2.1388888888888888</v>
      </c>
      <c r="AD38" s="3">
        <v>0</v>
      </c>
      <c r="AE38" s="3">
        <v>0</v>
      </c>
      <c r="AF38" t="s">
        <v>36</v>
      </c>
      <c r="AG38" s="13">
        <v>9</v>
      </c>
      <c r="AQ38"/>
    </row>
    <row r="39" spans="1:43" x14ac:dyDescent="0.2">
      <c r="A39" t="s">
        <v>41</v>
      </c>
      <c r="B39" t="s">
        <v>79</v>
      </c>
      <c r="C39" t="s">
        <v>87</v>
      </c>
      <c r="D39" t="s">
        <v>104</v>
      </c>
      <c r="E39" s="3">
        <v>88.011111111111106</v>
      </c>
      <c r="F39" s="3">
        <f>Table3[[#This Row],[Total Hours Nurse Staffing]]/Table3[[#This Row],[MDS Census]]</f>
        <v>5.9098952152506001</v>
      </c>
      <c r="G39" s="3">
        <f>Table3[[#This Row],[Total Direct Care Staff Hours]]/Table3[[#This Row],[MDS Census]]</f>
        <v>5.2010516348945846</v>
      </c>
      <c r="H39" s="3">
        <f>Table3[[#This Row],[Total RN Hours (w/ Admin, DON)]]/Table3[[#This Row],[MDS Census]]</f>
        <v>2.8000921600807978</v>
      </c>
      <c r="I39" s="3">
        <f>Table3[[#This Row],[RN Hours (excl. Admin, DON)]]/Table3[[#This Row],[MDS Census]]</f>
        <v>2.0912485797247822</v>
      </c>
      <c r="J39" s="3">
        <f t="shared" si="0"/>
        <v>520.13644444444446</v>
      </c>
      <c r="K39" s="3">
        <f>SUM(Table3[[#This Row],[RN Hours (excl. Admin, DON)]], Table3[[#This Row],[LPN Hours (excl. Admin)]], Table3[[#This Row],[CNA Hours]], Table3[[#This Row],[NA TR Hours]], Table3[[#This Row],[Med Aide/Tech Hours]])</f>
        <v>457.75033333333334</v>
      </c>
      <c r="L39" s="3">
        <f>SUM(Table3[[#This Row],[RN Hours (excl. Admin, DON)]:[RN DON Hours]])</f>
        <v>246.43922222222221</v>
      </c>
      <c r="M39" s="3">
        <v>184.05311111111109</v>
      </c>
      <c r="N39" s="3">
        <v>57.230555555555554</v>
      </c>
      <c r="O39" s="3">
        <v>5.1555555555555559</v>
      </c>
      <c r="P39" s="3">
        <f>SUM(Table3[[#This Row],[LPN Hours (excl. Admin)]:[LPN Admin Hours]])</f>
        <v>0</v>
      </c>
      <c r="Q39" s="3">
        <v>0</v>
      </c>
      <c r="R39" s="3">
        <v>0</v>
      </c>
      <c r="S39" s="3">
        <f>SUM(Table3[[#This Row],[CNA Hours]], Table3[[#This Row],[NA TR Hours]], Table3[[#This Row],[Med Aide/Tech Hours]])</f>
        <v>273.69722222222225</v>
      </c>
      <c r="T39" s="3">
        <v>263.18611111111113</v>
      </c>
      <c r="U39" s="3">
        <v>10.511111111111111</v>
      </c>
      <c r="V39" s="3">
        <v>0</v>
      </c>
      <c r="W39" s="3">
        <f>SUM(Table3[[#This Row],[RN Hours Contract]:[Med Aide Hours Contract]])</f>
        <v>4.5666666666666664</v>
      </c>
      <c r="X39" s="3">
        <v>0</v>
      </c>
      <c r="Y39" s="3">
        <v>4.5666666666666664</v>
      </c>
      <c r="Z39" s="3">
        <v>0</v>
      </c>
      <c r="AA39" s="3">
        <v>0</v>
      </c>
      <c r="AB39" s="3">
        <v>0</v>
      </c>
      <c r="AC39" s="3">
        <v>0</v>
      </c>
      <c r="AD39" s="3">
        <v>0</v>
      </c>
      <c r="AE39" s="3">
        <v>0</v>
      </c>
      <c r="AF39" t="s">
        <v>37</v>
      </c>
      <c r="AG39" s="13">
        <v>9</v>
      </c>
      <c r="AQ39"/>
    </row>
    <row r="40" spans="1:43" x14ac:dyDescent="0.2">
      <c r="A40" t="s">
        <v>41</v>
      </c>
      <c r="B40" t="s">
        <v>80</v>
      </c>
      <c r="C40" t="s">
        <v>83</v>
      </c>
      <c r="D40" t="s">
        <v>101</v>
      </c>
      <c r="E40" s="3">
        <v>71.322222222222223</v>
      </c>
      <c r="F40" s="3">
        <f>Table3[[#This Row],[Total Hours Nurse Staffing]]/Table3[[#This Row],[MDS Census]]</f>
        <v>4.3530534351145036</v>
      </c>
      <c r="G40" s="3">
        <f>Table3[[#This Row],[Total Direct Care Staff Hours]]/Table3[[#This Row],[MDS Census]]</f>
        <v>3.96171522043932</v>
      </c>
      <c r="H40" s="3">
        <f>Table3[[#This Row],[Total RN Hours (w/ Admin, DON)]]/Table3[[#This Row],[MDS Census]]</f>
        <v>1.2291634210936282</v>
      </c>
      <c r="I40" s="3">
        <f>Table3[[#This Row],[RN Hours (excl. Admin, DON)]]/Table3[[#This Row],[MDS Census]]</f>
        <v>0.83782520641844516</v>
      </c>
      <c r="J40" s="3">
        <f t="shared" si="0"/>
        <v>310.46944444444443</v>
      </c>
      <c r="K40" s="3">
        <f>SUM(Table3[[#This Row],[RN Hours (excl. Admin, DON)]], Table3[[#This Row],[LPN Hours (excl. Admin)]], Table3[[#This Row],[CNA Hours]], Table3[[#This Row],[NA TR Hours]], Table3[[#This Row],[Med Aide/Tech Hours]])</f>
        <v>282.55833333333328</v>
      </c>
      <c r="L40" s="3">
        <f>SUM(Table3[[#This Row],[RN Hours (excl. Admin, DON)]:[RN DON Hours]])</f>
        <v>87.666666666666657</v>
      </c>
      <c r="M40" s="3">
        <v>59.755555555555553</v>
      </c>
      <c r="N40" s="3">
        <v>22.4</v>
      </c>
      <c r="O40" s="3">
        <v>5.5111111111111111</v>
      </c>
      <c r="P40" s="3">
        <f>SUM(Table3[[#This Row],[LPN Hours (excl. Admin)]:[LPN Admin Hours]])</f>
        <v>36.797222222222224</v>
      </c>
      <c r="Q40" s="3">
        <v>36.797222222222224</v>
      </c>
      <c r="R40" s="3">
        <v>0</v>
      </c>
      <c r="S40" s="3">
        <f>SUM(Table3[[#This Row],[CNA Hours]], Table3[[#This Row],[NA TR Hours]], Table3[[#This Row],[Med Aide/Tech Hours]])</f>
        <v>186.00555555555556</v>
      </c>
      <c r="T40" s="3">
        <v>182.40277777777777</v>
      </c>
      <c r="U40" s="3">
        <v>3.6027777777777779</v>
      </c>
      <c r="V40" s="3">
        <v>0</v>
      </c>
      <c r="W40" s="3">
        <f>SUM(Table3[[#This Row],[RN Hours Contract]:[Med Aide Hours Contract]])</f>
        <v>0</v>
      </c>
      <c r="X40" s="3">
        <v>0</v>
      </c>
      <c r="Y40" s="3">
        <v>0</v>
      </c>
      <c r="Z40" s="3">
        <v>0</v>
      </c>
      <c r="AA40" s="3">
        <v>0</v>
      </c>
      <c r="AB40" s="3">
        <v>0</v>
      </c>
      <c r="AC40" s="3">
        <v>0</v>
      </c>
      <c r="AD40" s="3">
        <v>0</v>
      </c>
      <c r="AE40" s="3">
        <v>0</v>
      </c>
      <c r="AF40" t="s">
        <v>38</v>
      </c>
      <c r="AG40" s="13">
        <v>9</v>
      </c>
      <c r="AQ40"/>
    </row>
    <row r="41" spans="1:43" x14ac:dyDescent="0.2">
      <c r="A41" t="s">
        <v>41</v>
      </c>
      <c r="B41" t="s">
        <v>81</v>
      </c>
      <c r="C41" t="s">
        <v>87</v>
      </c>
      <c r="D41" t="s">
        <v>104</v>
      </c>
      <c r="E41" s="3">
        <v>44.077777777777776</v>
      </c>
      <c r="F41" s="3">
        <f>Table3[[#This Row],[Total Hours Nurse Staffing]]/Table3[[#This Row],[MDS Census]]</f>
        <v>5.1765162591378875</v>
      </c>
      <c r="G41" s="3">
        <f>Table3[[#This Row],[Total Direct Care Staff Hours]]/Table3[[#This Row],[MDS Census]]</f>
        <v>4.9109503403075374</v>
      </c>
      <c r="H41" s="3">
        <f>Table3[[#This Row],[Total RN Hours (w/ Admin, DON)]]/Table3[[#This Row],[MDS Census]]</f>
        <v>1.9928560625157548</v>
      </c>
      <c r="I41" s="3">
        <f>Table3[[#This Row],[RN Hours (excl. Admin, DON)]]/Table3[[#This Row],[MDS Census]]</f>
        <v>1.7407764053440886</v>
      </c>
      <c r="J41" s="3">
        <f t="shared" si="0"/>
        <v>228.16933333333333</v>
      </c>
      <c r="K41" s="3">
        <f>SUM(Table3[[#This Row],[RN Hours (excl. Admin, DON)]], Table3[[#This Row],[LPN Hours (excl. Admin)]], Table3[[#This Row],[CNA Hours]], Table3[[#This Row],[NA TR Hours]], Table3[[#This Row],[Med Aide/Tech Hours]])</f>
        <v>216.46377777777778</v>
      </c>
      <c r="L41" s="3">
        <f>SUM(Table3[[#This Row],[RN Hours (excl. Admin, DON)]:[RN DON Hours]])</f>
        <v>87.84066666666665</v>
      </c>
      <c r="M41" s="3">
        <v>76.72955555555555</v>
      </c>
      <c r="N41" s="3">
        <v>5.6</v>
      </c>
      <c r="O41" s="3">
        <v>5.5111111111111111</v>
      </c>
      <c r="P41" s="3">
        <f>SUM(Table3[[#This Row],[LPN Hours (excl. Admin)]:[LPN Admin Hours]])</f>
        <v>15.905555555555557</v>
      </c>
      <c r="Q41" s="3">
        <v>15.311111111111112</v>
      </c>
      <c r="R41" s="3">
        <v>0.59444444444444444</v>
      </c>
      <c r="S41" s="3">
        <f>SUM(Table3[[#This Row],[CNA Hours]], Table3[[#This Row],[NA TR Hours]], Table3[[#This Row],[Med Aide/Tech Hours]])</f>
        <v>124.42311111111111</v>
      </c>
      <c r="T41" s="3">
        <v>124.42311111111111</v>
      </c>
      <c r="U41" s="3">
        <v>0</v>
      </c>
      <c r="V41" s="3">
        <v>0</v>
      </c>
      <c r="W41" s="3">
        <f>SUM(Table3[[#This Row],[RN Hours Contract]:[Med Aide Hours Contract]])</f>
        <v>5.3332222222222221</v>
      </c>
      <c r="X41" s="3">
        <v>2.5989999999999998</v>
      </c>
      <c r="Y41" s="3">
        <v>0</v>
      </c>
      <c r="Z41" s="3">
        <v>0</v>
      </c>
      <c r="AA41" s="3">
        <v>1.3611111111111112</v>
      </c>
      <c r="AB41" s="3">
        <v>0.56111111111111112</v>
      </c>
      <c r="AC41" s="3">
        <v>0.81199999999999994</v>
      </c>
      <c r="AD41" s="3">
        <v>0</v>
      </c>
      <c r="AE41" s="3">
        <v>0</v>
      </c>
      <c r="AF41" t="s">
        <v>39</v>
      </c>
      <c r="AG41" s="13">
        <v>9</v>
      </c>
      <c r="AQ41"/>
    </row>
    <row r="42" spans="1:43" x14ac:dyDescent="0.2">
      <c r="A42" t="s">
        <v>41</v>
      </c>
      <c r="B42" t="s">
        <v>82</v>
      </c>
      <c r="C42" t="s">
        <v>100</v>
      </c>
      <c r="D42" t="s">
        <v>105</v>
      </c>
      <c r="E42" s="3">
        <v>10.7</v>
      </c>
      <c r="F42" s="3">
        <f>Table3[[#This Row],[Total Hours Nurse Staffing]]/Table3[[#This Row],[MDS Census]]</f>
        <v>8.9490654205607481</v>
      </c>
      <c r="G42" s="3">
        <f>Table3[[#This Row],[Total Direct Care Staff Hours]]/Table3[[#This Row],[MDS Census]]</f>
        <v>8.868224299065421</v>
      </c>
      <c r="H42" s="3">
        <f>Table3[[#This Row],[Total RN Hours (w/ Admin, DON)]]/Table3[[#This Row],[MDS Census]]</f>
        <v>2.9757009345794394</v>
      </c>
      <c r="I42" s="3">
        <f>Table3[[#This Row],[RN Hours (excl. Admin, DON)]]/Table3[[#This Row],[MDS Census]]</f>
        <v>2.8948598130841123</v>
      </c>
      <c r="J42" s="3">
        <f t="shared" si="0"/>
        <v>95.754999999999995</v>
      </c>
      <c r="K42" s="3">
        <f>SUM(Table3[[#This Row],[RN Hours (excl. Admin, DON)]], Table3[[#This Row],[LPN Hours (excl. Admin)]], Table3[[#This Row],[CNA Hours]], Table3[[#This Row],[NA TR Hours]], Table3[[#This Row],[Med Aide/Tech Hours]])</f>
        <v>94.89</v>
      </c>
      <c r="L42" s="3">
        <f>SUM(Table3[[#This Row],[RN Hours (excl. Admin, DON)]:[RN DON Hours]])</f>
        <v>31.84</v>
      </c>
      <c r="M42" s="3">
        <v>30.975000000000001</v>
      </c>
      <c r="N42" s="3">
        <v>0</v>
      </c>
      <c r="O42" s="3">
        <v>0.86499999999999999</v>
      </c>
      <c r="P42" s="3">
        <f>SUM(Table3[[#This Row],[LPN Hours (excl. Admin)]:[LPN Admin Hours]])</f>
        <v>18.326666666666668</v>
      </c>
      <c r="Q42" s="3">
        <v>18.326666666666668</v>
      </c>
      <c r="R42" s="3">
        <v>0</v>
      </c>
      <c r="S42" s="3">
        <f>SUM(Table3[[#This Row],[CNA Hours]], Table3[[#This Row],[NA TR Hours]], Table3[[#This Row],[Med Aide/Tech Hours]])</f>
        <v>45.588333333333331</v>
      </c>
      <c r="T42" s="3">
        <v>45.588333333333331</v>
      </c>
      <c r="U42" s="3">
        <v>0</v>
      </c>
      <c r="V42" s="3">
        <v>0</v>
      </c>
      <c r="W42" s="3">
        <f>SUM(Table3[[#This Row],[RN Hours Contract]:[Med Aide Hours Contract]])</f>
        <v>0</v>
      </c>
      <c r="X42" s="3">
        <v>0</v>
      </c>
      <c r="Y42" s="3">
        <v>0</v>
      </c>
      <c r="Z42" s="3">
        <v>0</v>
      </c>
      <c r="AA42" s="3">
        <v>0</v>
      </c>
      <c r="AB42" s="3">
        <v>0</v>
      </c>
      <c r="AC42" s="3">
        <v>0</v>
      </c>
      <c r="AD42" s="3">
        <v>0</v>
      </c>
      <c r="AE42" s="3">
        <v>0</v>
      </c>
      <c r="AF42" t="s">
        <v>40</v>
      </c>
      <c r="AG42" s="13">
        <v>9</v>
      </c>
      <c r="AQ42"/>
    </row>
    <row r="44" spans="1:43" s="1" customFormat="1" x14ac:dyDescent="0.2"/>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4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42"/>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106</v>
      </c>
      <c r="B1" s="5" t="s">
        <v>108</v>
      </c>
      <c r="C1" s="5" t="s">
        <v>124</v>
      </c>
      <c r="D1" s="5" t="s">
        <v>109</v>
      </c>
      <c r="E1" s="5" t="s">
        <v>110</v>
      </c>
      <c r="F1" s="5" t="s">
        <v>125</v>
      </c>
      <c r="G1" s="5" t="s">
        <v>132</v>
      </c>
      <c r="H1" s="6" t="s">
        <v>134</v>
      </c>
      <c r="I1" s="5" t="s">
        <v>126</v>
      </c>
      <c r="J1" s="5" t="s">
        <v>145</v>
      </c>
      <c r="K1" s="6" t="s">
        <v>146</v>
      </c>
      <c r="L1" s="5" t="s">
        <v>111</v>
      </c>
      <c r="M1" s="5" t="s">
        <v>116</v>
      </c>
      <c r="N1" s="6" t="s">
        <v>120</v>
      </c>
      <c r="O1" s="5" t="s">
        <v>114</v>
      </c>
      <c r="P1" s="5" t="s">
        <v>149</v>
      </c>
      <c r="Q1" s="6" t="s">
        <v>144</v>
      </c>
      <c r="R1" s="5" t="s">
        <v>115</v>
      </c>
      <c r="S1" s="5" t="s">
        <v>147</v>
      </c>
      <c r="T1" s="5" t="s">
        <v>143</v>
      </c>
      <c r="U1" s="5" t="s">
        <v>127</v>
      </c>
      <c r="V1" s="5" t="s">
        <v>139</v>
      </c>
      <c r="W1" s="6" t="s">
        <v>142</v>
      </c>
      <c r="X1" s="5" t="s">
        <v>112</v>
      </c>
      <c r="Y1" s="5" t="s">
        <v>117</v>
      </c>
      <c r="Z1" s="6" t="s">
        <v>138</v>
      </c>
      <c r="AA1" s="5" t="s">
        <v>128</v>
      </c>
      <c r="AB1" s="5" t="s">
        <v>148</v>
      </c>
      <c r="AC1" s="6" t="s">
        <v>137</v>
      </c>
      <c r="AD1" s="5" t="s">
        <v>130</v>
      </c>
      <c r="AE1" s="5" t="s">
        <v>141</v>
      </c>
      <c r="AF1" s="6" t="s">
        <v>140</v>
      </c>
      <c r="AG1" s="5" t="s">
        <v>113</v>
      </c>
      <c r="AH1" s="5" t="s">
        <v>118</v>
      </c>
      <c r="AI1" s="6" t="s">
        <v>119</v>
      </c>
      <c r="AJ1" s="5" t="s">
        <v>131</v>
      </c>
      <c r="AK1" s="5" t="s">
        <v>181</v>
      </c>
      <c r="AL1" s="6" t="s">
        <v>136</v>
      </c>
      <c r="AM1" s="5" t="s">
        <v>129</v>
      </c>
      <c r="AN1" s="5" t="s">
        <v>182</v>
      </c>
      <c r="AO1" s="6" t="s">
        <v>135</v>
      </c>
      <c r="AP1" s="5" t="s">
        <v>107</v>
      </c>
      <c r="AQ1" s="5" t="s">
        <v>151</v>
      </c>
    </row>
    <row r="2" spans="1:43" x14ac:dyDescent="0.2">
      <c r="A2" s="1" t="s">
        <v>41</v>
      </c>
      <c r="B2" s="1" t="s">
        <v>42</v>
      </c>
      <c r="C2" s="1" t="s">
        <v>83</v>
      </c>
      <c r="D2" s="1" t="s">
        <v>101</v>
      </c>
      <c r="E2" s="3">
        <v>29.622222222222224</v>
      </c>
      <c r="F2" s="3">
        <f t="shared" ref="F2:F42" si="0">SUM(I2,U2,AD2)</f>
        <v>184.02055555555555</v>
      </c>
      <c r="G2" s="3">
        <f>SUM(Table39[[#This Row],[RN Hours Contract (W/ Admin, DON)]], Table39[[#This Row],[LPN Contract Hours (w/ Admin)]], Table39[[#This Row],[CNA/NA/Med Aide Contract Hours]])</f>
        <v>0</v>
      </c>
      <c r="H2" s="4">
        <f>Table39[[#This Row],[Total Contract Hours]]/Table39[[#This Row],[Total Hours Nurse Staffing]]</f>
        <v>0</v>
      </c>
      <c r="I2" s="3">
        <f>SUM(Table39[[#This Row],[RN Hours]], Table39[[#This Row],[RN Admin Hours]], Table39[[#This Row],[RN DON Hours]])</f>
        <v>47.429444444444449</v>
      </c>
      <c r="J2" s="3">
        <f t="shared" ref="J2:J42" si="1">SUM(M2,P2,S2)</f>
        <v>0</v>
      </c>
      <c r="K2" s="4">
        <f>Table39[[#This Row],[RN Hours Contract (W/ Admin, DON)]]/Table39[[#This Row],[RN Hours (w/ Admin, DON)]]</f>
        <v>0</v>
      </c>
      <c r="L2" s="3">
        <v>42.229444444444447</v>
      </c>
      <c r="M2" s="3">
        <v>0</v>
      </c>
      <c r="N2" s="4">
        <f>Table39[[#This Row],[RN Hours Contract]]/Table39[[#This Row],[RN Hours]]</f>
        <v>0</v>
      </c>
      <c r="O2" s="3">
        <v>0</v>
      </c>
      <c r="P2" s="3">
        <v>0</v>
      </c>
      <c r="Q2" s="4">
        <v>0</v>
      </c>
      <c r="R2" s="3">
        <v>5.2</v>
      </c>
      <c r="S2" s="3">
        <v>0</v>
      </c>
      <c r="T2" s="4">
        <f>Table39[[#This Row],[RN DON Hours Contract]]/Table39[[#This Row],[RN DON Hours]]</f>
        <v>0</v>
      </c>
      <c r="U2" s="3">
        <f>SUM(Table39[[#This Row],[LPN Hours]], Table39[[#This Row],[LPN Admin Hours]])</f>
        <v>33.686666666666667</v>
      </c>
      <c r="V2" s="3">
        <f>Table39[[#This Row],[LPN Hours Contract]]+Table39[[#This Row],[LPN Admin Hours Contract]]</f>
        <v>0</v>
      </c>
      <c r="W2" s="4">
        <f t="shared" ref="W2:W42" si="2">V2/U2</f>
        <v>0</v>
      </c>
      <c r="X2" s="3">
        <v>33.686666666666667</v>
      </c>
      <c r="Y2" s="3">
        <v>0</v>
      </c>
      <c r="Z2" s="4">
        <f>Table39[[#This Row],[LPN Hours Contract]]/Table39[[#This Row],[LPN Hours]]</f>
        <v>0</v>
      </c>
      <c r="AA2" s="3">
        <v>0</v>
      </c>
      <c r="AB2" s="3">
        <v>0</v>
      </c>
      <c r="AC2" s="4">
        <v>0</v>
      </c>
      <c r="AD2" s="3">
        <f>SUM(Table39[[#This Row],[CNA Hours]], Table39[[#This Row],[NA in Training Hours]], Table39[[#This Row],[Med Aide/Tech Hours]])</f>
        <v>102.90444444444444</v>
      </c>
      <c r="AE2" s="3">
        <f>SUM(Table39[[#This Row],[CNA Hours Contract]], Table39[[#This Row],[NA in Training Hours Contract]], Table39[[#This Row],[Med Aide/Tech Hours Contract]])</f>
        <v>0</v>
      </c>
      <c r="AF2" s="4">
        <f>Table39[[#This Row],[CNA/NA/Med Aide Contract Hours]]/Table39[[#This Row],[Total CNA, NA in Training, Med Aide/Tech Hours]]</f>
        <v>0</v>
      </c>
      <c r="AG2" s="3">
        <v>102.90444444444444</v>
      </c>
      <c r="AH2" s="3">
        <v>0</v>
      </c>
      <c r="AI2" s="4">
        <f>Table39[[#This Row],[CNA Hours Contract]]/Table39[[#This Row],[CNA Hours]]</f>
        <v>0</v>
      </c>
      <c r="AJ2" s="3">
        <v>0</v>
      </c>
      <c r="AK2" s="3">
        <v>0</v>
      </c>
      <c r="AL2" s="4">
        <v>0</v>
      </c>
      <c r="AM2" s="3">
        <v>0</v>
      </c>
      <c r="AN2" s="3">
        <v>0</v>
      </c>
      <c r="AO2" s="4">
        <v>0</v>
      </c>
      <c r="AP2" s="1" t="s">
        <v>0</v>
      </c>
      <c r="AQ2" s="1">
        <v>9</v>
      </c>
    </row>
    <row r="3" spans="1:43" x14ac:dyDescent="0.2">
      <c r="A3" s="1" t="s">
        <v>41</v>
      </c>
      <c r="B3" s="1" t="s">
        <v>43</v>
      </c>
      <c r="C3" s="1" t="s">
        <v>84</v>
      </c>
      <c r="D3" s="1" t="s">
        <v>102</v>
      </c>
      <c r="E3" s="3">
        <v>86.533333333333331</v>
      </c>
      <c r="F3" s="3">
        <f t="shared" si="0"/>
        <v>440.24444444444441</v>
      </c>
      <c r="G3" s="3">
        <f>SUM(Table39[[#This Row],[RN Hours Contract (W/ Admin, DON)]], Table39[[#This Row],[LPN Contract Hours (w/ Admin)]], Table39[[#This Row],[CNA/NA/Med Aide Contract Hours]])</f>
        <v>22.31111111111111</v>
      </c>
      <c r="H3" s="4">
        <f>Table39[[#This Row],[Total Contract Hours]]/Table39[[#This Row],[Total Hours Nurse Staffing]]</f>
        <v>5.0678915753874114E-2</v>
      </c>
      <c r="I3" s="3">
        <f>SUM(Table39[[#This Row],[RN Hours]], Table39[[#This Row],[RN Admin Hours]], Table39[[#This Row],[RN DON Hours]])</f>
        <v>145.62222222222223</v>
      </c>
      <c r="J3" s="3">
        <f t="shared" si="1"/>
        <v>9.5777777777777775</v>
      </c>
      <c r="K3" s="4">
        <f>Table39[[#This Row],[RN Hours Contract (W/ Admin, DON)]]/Table39[[#This Row],[RN Hours (w/ Admin, DON)]]</f>
        <v>6.5771402411109403E-2</v>
      </c>
      <c r="L3" s="3">
        <v>116.43333333333334</v>
      </c>
      <c r="M3" s="3">
        <v>9.5777777777777775</v>
      </c>
      <c r="N3" s="4">
        <f>Table39[[#This Row],[RN Hours Contract]]/Table39[[#This Row],[RN Hours]]</f>
        <v>8.2259757610459006E-2</v>
      </c>
      <c r="O3" s="3">
        <v>19.744444444444444</v>
      </c>
      <c r="P3" s="3">
        <v>0</v>
      </c>
      <c r="Q3" s="4">
        <f>Table39[[#This Row],[RN Admin Hours Contract]]/Table39[[#This Row],[RN Admin Hours]]</f>
        <v>0</v>
      </c>
      <c r="R3" s="3">
        <v>9.4444444444444446</v>
      </c>
      <c r="S3" s="3">
        <v>0</v>
      </c>
      <c r="T3" s="4">
        <f>Table39[[#This Row],[RN DON Hours Contract]]/Table39[[#This Row],[RN DON Hours]]</f>
        <v>0</v>
      </c>
      <c r="U3" s="3">
        <f>SUM(Table39[[#This Row],[LPN Hours]], Table39[[#This Row],[LPN Admin Hours]])</f>
        <v>9.0777777777777775</v>
      </c>
      <c r="V3" s="3">
        <f>Table39[[#This Row],[LPN Hours Contract]]+Table39[[#This Row],[LPN Admin Hours Contract]]</f>
        <v>3.9222222222222221</v>
      </c>
      <c r="W3" s="4">
        <f t="shared" si="2"/>
        <v>0.43206854345165235</v>
      </c>
      <c r="X3" s="3">
        <v>3.9222222222222221</v>
      </c>
      <c r="Y3" s="3">
        <v>3.9222222222222221</v>
      </c>
      <c r="Z3" s="4">
        <f>Table39[[#This Row],[LPN Hours Contract]]/Table39[[#This Row],[LPN Hours]]</f>
        <v>1</v>
      </c>
      <c r="AA3" s="3">
        <v>5.1555555555555559</v>
      </c>
      <c r="AB3" s="3">
        <v>0</v>
      </c>
      <c r="AC3" s="4">
        <f>Table39[[#This Row],[LPN Admin Hours Contract]]/Table39[[#This Row],[LPN Admin Hours]]</f>
        <v>0</v>
      </c>
      <c r="AD3" s="3">
        <f>SUM(Table39[[#This Row],[CNA Hours]], Table39[[#This Row],[NA in Training Hours]], Table39[[#This Row],[Med Aide/Tech Hours]])</f>
        <v>285.54444444444442</v>
      </c>
      <c r="AE3" s="3">
        <f>SUM(Table39[[#This Row],[CNA Hours Contract]], Table39[[#This Row],[NA in Training Hours Contract]], Table39[[#This Row],[Med Aide/Tech Hours Contract]])</f>
        <v>8.8111111111111118</v>
      </c>
      <c r="AF3" s="4">
        <f>Table39[[#This Row],[CNA/NA/Med Aide Contract Hours]]/Table39[[#This Row],[Total CNA, NA in Training, Med Aide/Tech Hours]]</f>
        <v>3.0857231798902686E-2</v>
      </c>
      <c r="AG3" s="3">
        <v>280.27777777777777</v>
      </c>
      <c r="AH3" s="3">
        <v>8.8111111111111118</v>
      </c>
      <c r="AI3" s="4">
        <f>Table39[[#This Row],[CNA Hours Contract]]/Table39[[#This Row],[CNA Hours]]</f>
        <v>3.1437066402378595E-2</v>
      </c>
      <c r="AJ3" s="3">
        <v>5.2666666666666666</v>
      </c>
      <c r="AK3" s="3">
        <v>0</v>
      </c>
      <c r="AL3" s="4">
        <f>Table39[[#This Row],[NA in Training Hours Contract]]/Table39[[#This Row],[NA in Training Hours]]</f>
        <v>0</v>
      </c>
      <c r="AM3" s="3">
        <v>0</v>
      </c>
      <c r="AN3" s="3">
        <v>0</v>
      </c>
      <c r="AO3" s="4">
        <v>0</v>
      </c>
      <c r="AP3" s="1" t="s">
        <v>1</v>
      </c>
      <c r="AQ3" s="1">
        <v>9</v>
      </c>
    </row>
    <row r="4" spans="1:43" x14ac:dyDescent="0.2">
      <c r="A4" s="1" t="s">
        <v>41</v>
      </c>
      <c r="B4" s="1" t="s">
        <v>44</v>
      </c>
      <c r="C4" s="1" t="s">
        <v>85</v>
      </c>
      <c r="D4" s="1" t="s">
        <v>103</v>
      </c>
      <c r="E4" s="3">
        <v>88.066666666666663</v>
      </c>
      <c r="F4" s="3">
        <f t="shared" si="0"/>
        <v>377.35644444444449</v>
      </c>
      <c r="G4" s="3">
        <f>SUM(Table39[[#This Row],[RN Hours Contract (W/ Admin, DON)]], Table39[[#This Row],[LPN Contract Hours (w/ Admin)]], Table39[[#This Row],[CNA/NA/Med Aide Contract Hours]])</f>
        <v>0</v>
      </c>
      <c r="H4" s="4">
        <f>Table39[[#This Row],[Total Contract Hours]]/Table39[[#This Row],[Total Hours Nurse Staffing]]</f>
        <v>0</v>
      </c>
      <c r="I4" s="3">
        <f>SUM(Table39[[#This Row],[RN Hours]], Table39[[#This Row],[RN Admin Hours]], Table39[[#This Row],[RN DON Hours]])</f>
        <v>120.012</v>
      </c>
      <c r="J4" s="3">
        <f t="shared" si="1"/>
        <v>0</v>
      </c>
      <c r="K4" s="4">
        <f>Table39[[#This Row],[RN Hours Contract (W/ Admin, DON)]]/Table39[[#This Row],[RN Hours (w/ Admin, DON)]]</f>
        <v>0</v>
      </c>
      <c r="L4" s="3">
        <v>90.00622222222222</v>
      </c>
      <c r="M4" s="3">
        <v>0</v>
      </c>
      <c r="N4" s="4">
        <f>Table39[[#This Row],[RN Hours Contract]]/Table39[[#This Row],[RN Hours]]</f>
        <v>0</v>
      </c>
      <c r="O4" s="3">
        <v>29.116888888888887</v>
      </c>
      <c r="P4" s="3">
        <v>0</v>
      </c>
      <c r="Q4" s="4">
        <f>Table39[[#This Row],[RN Admin Hours Contract]]/Table39[[#This Row],[RN Admin Hours]]</f>
        <v>0</v>
      </c>
      <c r="R4" s="3">
        <v>0.88888888888888884</v>
      </c>
      <c r="S4" s="3">
        <v>0</v>
      </c>
      <c r="T4" s="4">
        <f>Table39[[#This Row],[RN DON Hours Contract]]/Table39[[#This Row],[RN DON Hours]]</f>
        <v>0</v>
      </c>
      <c r="U4" s="3">
        <f>SUM(Table39[[#This Row],[LPN Hours]], Table39[[#This Row],[LPN Admin Hours]])</f>
        <v>11.016666666666667</v>
      </c>
      <c r="V4" s="3">
        <f>Table39[[#This Row],[LPN Hours Contract]]+Table39[[#This Row],[LPN Admin Hours Contract]]</f>
        <v>0</v>
      </c>
      <c r="W4" s="4">
        <f t="shared" si="2"/>
        <v>0</v>
      </c>
      <c r="X4" s="3">
        <v>11.016666666666667</v>
      </c>
      <c r="Y4" s="3">
        <v>0</v>
      </c>
      <c r="Z4" s="4">
        <f>Table39[[#This Row],[LPN Hours Contract]]/Table39[[#This Row],[LPN Hours]]</f>
        <v>0</v>
      </c>
      <c r="AA4" s="3">
        <v>0</v>
      </c>
      <c r="AB4" s="3">
        <v>0</v>
      </c>
      <c r="AC4" s="4">
        <v>0</v>
      </c>
      <c r="AD4" s="3">
        <f>SUM(Table39[[#This Row],[CNA Hours]], Table39[[#This Row],[NA in Training Hours]], Table39[[#This Row],[Med Aide/Tech Hours]])</f>
        <v>246.32777777777778</v>
      </c>
      <c r="AE4" s="3">
        <f>SUM(Table39[[#This Row],[CNA Hours Contract]], Table39[[#This Row],[NA in Training Hours Contract]], Table39[[#This Row],[Med Aide/Tech Hours Contract]])</f>
        <v>0</v>
      </c>
      <c r="AF4" s="4">
        <f>Table39[[#This Row],[CNA/NA/Med Aide Contract Hours]]/Table39[[#This Row],[Total CNA, NA in Training, Med Aide/Tech Hours]]</f>
        <v>0</v>
      </c>
      <c r="AG4" s="3">
        <v>244.20555555555555</v>
      </c>
      <c r="AH4" s="3">
        <v>0</v>
      </c>
      <c r="AI4" s="4">
        <f>Table39[[#This Row],[CNA Hours Contract]]/Table39[[#This Row],[CNA Hours]]</f>
        <v>0</v>
      </c>
      <c r="AJ4" s="3">
        <v>2.1222222222222222</v>
      </c>
      <c r="AK4" s="3">
        <v>0</v>
      </c>
      <c r="AL4" s="4">
        <f>Table39[[#This Row],[NA in Training Hours Contract]]/Table39[[#This Row],[NA in Training Hours]]</f>
        <v>0</v>
      </c>
      <c r="AM4" s="3">
        <v>0</v>
      </c>
      <c r="AN4" s="3">
        <v>0</v>
      </c>
      <c r="AO4" s="4">
        <v>0</v>
      </c>
      <c r="AP4" s="1" t="s">
        <v>2</v>
      </c>
      <c r="AQ4" s="1">
        <v>9</v>
      </c>
    </row>
    <row r="5" spans="1:43" x14ac:dyDescent="0.2">
      <c r="A5" s="1" t="s">
        <v>41</v>
      </c>
      <c r="B5" s="1" t="s">
        <v>45</v>
      </c>
      <c r="C5" s="1" t="s">
        <v>86</v>
      </c>
      <c r="D5" s="1" t="s">
        <v>102</v>
      </c>
      <c r="E5" s="3">
        <v>197.56666666666666</v>
      </c>
      <c r="F5" s="3">
        <f t="shared" si="0"/>
        <v>1004.8777777777777</v>
      </c>
      <c r="G5" s="3">
        <f>SUM(Table39[[#This Row],[RN Hours Contract (W/ Admin, DON)]], Table39[[#This Row],[LPN Contract Hours (w/ Admin)]], Table39[[#This Row],[CNA/NA/Med Aide Contract Hours]])</f>
        <v>8.3083333333333336</v>
      </c>
      <c r="H5" s="4">
        <f>Table39[[#This Row],[Total Contract Hours]]/Table39[[#This Row],[Total Hours Nurse Staffing]]</f>
        <v>8.2680038478974791E-3</v>
      </c>
      <c r="I5" s="3">
        <f>SUM(Table39[[#This Row],[RN Hours]], Table39[[#This Row],[RN Admin Hours]], Table39[[#This Row],[RN DON Hours]])</f>
        <v>278.95</v>
      </c>
      <c r="J5" s="3">
        <f t="shared" si="1"/>
        <v>0</v>
      </c>
      <c r="K5" s="4">
        <f>Table39[[#This Row],[RN Hours Contract (W/ Admin, DON)]]/Table39[[#This Row],[RN Hours (w/ Admin, DON)]]</f>
        <v>0</v>
      </c>
      <c r="L5" s="3">
        <v>211.75</v>
      </c>
      <c r="M5" s="3">
        <v>0</v>
      </c>
      <c r="N5" s="4">
        <f>Table39[[#This Row],[RN Hours Contract]]/Table39[[#This Row],[RN Hours]]</f>
        <v>0</v>
      </c>
      <c r="O5" s="3">
        <v>61.777777777777779</v>
      </c>
      <c r="P5" s="3">
        <v>0</v>
      </c>
      <c r="Q5" s="4">
        <f>Table39[[#This Row],[RN Admin Hours Contract]]/Table39[[#This Row],[RN Admin Hours]]</f>
        <v>0</v>
      </c>
      <c r="R5" s="3">
        <v>5.4222222222222225</v>
      </c>
      <c r="S5" s="3">
        <v>0</v>
      </c>
      <c r="T5" s="4">
        <f>Table39[[#This Row],[RN DON Hours Contract]]/Table39[[#This Row],[RN DON Hours]]</f>
        <v>0</v>
      </c>
      <c r="U5" s="3">
        <f>SUM(Table39[[#This Row],[LPN Hours]], Table39[[#This Row],[LPN Admin Hours]])</f>
        <v>140.22222222222223</v>
      </c>
      <c r="V5" s="3">
        <f>Table39[[#This Row],[LPN Hours Contract]]+Table39[[#This Row],[LPN Admin Hours Contract]]</f>
        <v>8.3083333333333336</v>
      </c>
      <c r="W5" s="4">
        <f t="shared" si="2"/>
        <v>5.9251188589540413E-2</v>
      </c>
      <c r="X5" s="3">
        <v>130.72499999999999</v>
      </c>
      <c r="Y5" s="3">
        <v>8.3083333333333336</v>
      </c>
      <c r="Z5" s="4">
        <f>Table39[[#This Row],[LPN Hours Contract]]/Table39[[#This Row],[LPN Hours]]</f>
        <v>6.3555810543762359E-2</v>
      </c>
      <c r="AA5" s="3">
        <v>9.4972222222222218</v>
      </c>
      <c r="AB5" s="3">
        <v>0</v>
      </c>
      <c r="AC5" s="4">
        <f>Table39[[#This Row],[LPN Admin Hours Contract]]/Table39[[#This Row],[LPN Admin Hours]]</f>
        <v>0</v>
      </c>
      <c r="AD5" s="3">
        <f>SUM(Table39[[#This Row],[CNA Hours]], Table39[[#This Row],[NA in Training Hours]], Table39[[#This Row],[Med Aide/Tech Hours]])</f>
        <v>585.70555555555552</v>
      </c>
      <c r="AE5" s="3">
        <f>SUM(Table39[[#This Row],[CNA Hours Contract]], Table39[[#This Row],[NA in Training Hours Contract]], Table39[[#This Row],[Med Aide/Tech Hours Contract]])</f>
        <v>0</v>
      </c>
      <c r="AF5" s="4">
        <f>Table39[[#This Row],[CNA/NA/Med Aide Contract Hours]]/Table39[[#This Row],[Total CNA, NA in Training, Med Aide/Tech Hours]]</f>
        <v>0</v>
      </c>
      <c r="AG5" s="3">
        <v>533.15</v>
      </c>
      <c r="AH5" s="3">
        <v>0</v>
      </c>
      <c r="AI5" s="4">
        <f>Table39[[#This Row],[CNA Hours Contract]]/Table39[[#This Row],[CNA Hours]]</f>
        <v>0</v>
      </c>
      <c r="AJ5" s="3">
        <v>52.555555555555557</v>
      </c>
      <c r="AK5" s="3">
        <v>0</v>
      </c>
      <c r="AL5" s="4">
        <f>Table39[[#This Row],[NA in Training Hours Contract]]/Table39[[#This Row],[NA in Training Hours]]</f>
        <v>0</v>
      </c>
      <c r="AM5" s="3">
        <v>0</v>
      </c>
      <c r="AN5" s="3">
        <v>0</v>
      </c>
      <c r="AO5" s="4">
        <v>0</v>
      </c>
      <c r="AP5" s="1" t="s">
        <v>3</v>
      </c>
      <c r="AQ5" s="1">
        <v>9</v>
      </c>
    </row>
    <row r="6" spans="1:43" x14ac:dyDescent="0.2">
      <c r="A6" s="1" t="s">
        <v>41</v>
      </c>
      <c r="B6" s="1" t="s">
        <v>46</v>
      </c>
      <c r="C6" s="1" t="s">
        <v>87</v>
      </c>
      <c r="D6" s="1" t="s">
        <v>104</v>
      </c>
      <c r="E6" s="3">
        <v>83.5</v>
      </c>
      <c r="F6" s="3">
        <f t="shared" si="0"/>
        <v>375.56</v>
      </c>
      <c r="G6" s="3">
        <f>SUM(Table39[[#This Row],[RN Hours Contract (W/ Admin, DON)]], Table39[[#This Row],[LPN Contract Hours (w/ Admin)]], Table39[[#This Row],[CNA/NA/Med Aide Contract Hours]])</f>
        <v>0</v>
      </c>
      <c r="H6" s="4">
        <f>Table39[[#This Row],[Total Contract Hours]]/Table39[[#This Row],[Total Hours Nurse Staffing]]</f>
        <v>0</v>
      </c>
      <c r="I6" s="3">
        <f>SUM(Table39[[#This Row],[RN Hours]], Table39[[#This Row],[RN Admin Hours]], Table39[[#This Row],[RN DON Hours]])</f>
        <v>142.63111111111112</v>
      </c>
      <c r="J6" s="3">
        <f t="shared" si="1"/>
        <v>0</v>
      </c>
      <c r="K6" s="4">
        <f>Table39[[#This Row],[RN Hours Contract (W/ Admin, DON)]]/Table39[[#This Row],[RN Hours (w/ Admin, DON)]]</f>
        <v>0</v>
      </c>
      <c r="L6" s="3">
        <v>122.12444444444445</v>
      </c>
      <c r="M6" s="3">
        <v>0</v>
      </c>
      <c r="N6" s="4">
        <f>Table39[[#This Row],[RN Hours Contract]]/Table39[[#This Row],[RN Hours]]</f>
        <v>0</v>
      </c>
      <c r="O6" s="3">
        <v>15.351111111111111</v>
      </c>
      <c r="P6" s="3">
        <v>0</v>
      </c>
      <c r="Q6" s="4">
        <f>Table39[[#This Row],[RN Admin Hours Contract]]/Table39[[#This Row],[RN Admin Hours]]</f>
        <v>0</v>
      </c>
      <c r="R6" s="3">
        <v>5.1555555555555559</v>
      </c>
      <c r="S6" s="3">
        <v>0</v>
      </c>
      <c r="T6" s="4">
        <f>Table39[[#This Row],[RN DON Hours Contract]]/Table39[[#This Row],[RN DON Hours]]</f>
        <v>0</v>
      </c>
      <c r="U6" s="3">
        <f>SUM(Table39[[#This Row],[LPN Hours]], Table39[[#This Row],[LPN Admin Hours]])</f>
        <v>9.6166666666666671</v>
      </c>
      <c r="V6" s="3">
        <f>Table39[[#This Row],[LPN Hours Contract]]+Table39[[#This Row],[LPN Admin Hours Contract]]</f>
        <v>0</v>
      </c>
      <c r="W6" s="4">
        <f t="shared" si="2"/>
        <v>0</v>
      </c>
      <c r="X6" s="3">
        <v>9.6166666666666671</v>
      </c>
      <c r="Y6" s="3">
        <v>0</v>
      </c>
      <c r="Z6" s="4">
        <f>Table39[[#This Row],[LPN Hours Contract]]/Table39[[#This Row],[LPN Hours]]</f>
        <v>0</v>
      </c>
      <c r="AA6" s="3">
        <v>0</v>
      </c>
      <c r="AB6" s="3">
        <v>0</v>
      </c>
      <c r="AC6" s="4">
        <v>0</v>
      </c>
      <c r="AD6" s="3">
        <f>SUM(Table39[[#This Row],[CNA Hours]], Table39[[#This Row],[NA in Training Hours]], Table39[[#This Row],[Med Aide/Tech Hours]])</f>
        <v>223.3122222222222</v>
      </c>
      <c r="AE6" s="3">
        <f>SUM(Table39[[#This Row],[CNA Hours Contract]], Table39[[#This Row],[NA in Training Hours Contract]], Table39[[#This Row],[Med Aide/Tech Hours Contract]])</f>
        <v>0</v>
      </c>
      <c r="AF6" s="4">
        <f>Table39[[#This Row],[CNA/NA/Med Aide Contract Hours]]/Table39[[#This Row],[Total CNA, NA in Training, Med Aide/Tech Hours]]</f>
        <v>0</v>
      </c>
      <c r="AG6" s="3">
        <v>223.3122222222222</v>
      </c>
      <c r="AH6" s="3">
        <v>0</v>
      </c>
      <c r="AI6" s="4">
        <f>Table39[[#This Row],[CNA Hours Contract]]/Table39[[#This Row],[CNA Hours]]</f>
        <v>0</v>
      </c>
      <c r="AJ6" s="3">
        <v>0</v>
      </c>
      <c r="AK6" s="3">
        <v>0</v>
      </c>
      <c r="AL6" s="4">
        <v>0</v>
      </c>
      <c r="AM6" s="3">
        <v>0</v>
      </c>
      <c r="AN6" s="3">
        <v>0</v>
      </c>
      <c r="AO6" s="4">
        <v>0</v>
      </c>
      <c r="AP6" s="1" t="s">
        <v>4</v>
      </c>
      <c r="AQ6" s="1">
        <v>9</v>
      </c>
    </row>
    <row r="7" spans="1:43" x14ac:dyDescent="0.2">
      <c r="A7" s="1" t="s">
        <v>41</v>
      </c>
      <c r="B7" s="1" t="s">
        <v>47</v>
      </c>
      <c r="C7" s="1" t="s">
        <v>87</v>
      </c>
      <c r="D7" s="1" t="s">
        <v>104</v>
      </c>
      <c r="E7" s="3">
        <v>93.088888888888889</v>
      </c>
      <c r="F7" s="3">
        <f t="shared" si="0"/>
        <v>481.47388888888889</v>
      </c>
      <c r="G7" s="3">
        <f>SUM(Table39[[#This Row],[RN Hours Contract (W/ Admin, DON)]], Table39[[#This Row],[LPN Contract Hours (w/ Admin)]], Table39[[#This Row],[CNA/NA/Med Aide Contract Hours]])</f>
        <v>0</v>
      </c>
      <c r="H7" s="4">
        <f>Table39[[#This Row],[Total Contract Hours]]/Table39[[#This Row],[Total Hours Nurse Staffing]]</f>
        <v>0</v>
      </c>
      <c r="I7" s="3">
        <f>SUM(Table39[[#This Row],[RN Hours]], Table39[[#This Row],[RN Admin Hours]], Table39[[#This Row],[RN DON Hours]])</f>
        <v>193.31055555555554</v>
      </c>
      <c r="J7" s="3">
        <f t="shared" si="1"/>
        <v>0</v>
      </c>
      <c r="K7" s="4">
        <f>Table39[[#This Row],[RN Hours Contract (W/ Admin, DON)]]/Table39[[#This Row],[RN Hours (w/ Admin, DON)]]</f>
        <v>0</v>
      </c>
      <c r="L7" s="3">
        <v>163.41833333333332</v>
      </c>
      <c r="M7" s="3">
        <v>0</v>
      </c>
      <c r="N7" s="4">
        <f>Table39[[#This Row],[RN Hours Contract]]/Table39[[#This Row],[RN Hours]]</f>
        <v>0</v>
      </c>
      <c r="O7" s="3">
        <v>26.603333333333335</v>
      </c>
      <c r="P7" s="3">
        <v>0</v>
      </c>
      <c r="Q7" s="4">
        <f>Table39[[#This Row],[RN Admin Hours Contract]]/Table39[[#This Row],[RN Admin Hours]]</f>
        <v>0</v>
      </c>
      <c r="R7" s="3">
        <v>3.2888888888888888</v>
      </c>
      <c r="S7" s="3">
        <v>0</v>
      </c>
      <c r="T7" s="4">
        <f>Table39[[#This Row],[RN DON Hours Contract]]/Table39[[#This Row],[RN DON Hours]]</f>
        <v>0</v>
      </c>
      <c r="U7" s="3">
        <f>SUM(Table39[[#This Row],[LPN Hours]], Table39[[#This Row],[LPN Admin Hours]])</f>
        <v>5.0666666666666664</v>
      </c>
      <c r="V7" s="3">
        <f>Table39[[#This Row],[LPN Hours Contract]]+Table39[[#This Row],[LPN Admin Hours Contract]]</f>
        <v>0</v>
      </c>
      <c r="W7" s="4">
        <f t="shared" si="2"/>
        <v>0</v>
      </c>
      <c r="X7" s="3">
        <v>5.0666666666666664</v>
      </c>
      <c r="Y7" s="3">
        <v>0</v>
      </c>
      <c r="Z7" s="4">
        <f>Table39[[#This Row],[LPN Hours Contract]]/Table39[[#This Row],[LPN Hours]]</f>
        <v>0</v>
      </c>
      <c r="AA7" s="3">
        <v>0</v>
      </c>
      <c r="AB7" s="3">
        <v>0</v>
      </c>
      <c r="AC7" s="4">
        <v>0</v>
      </c>
      <c r="AD7" s="3">
        <f>SUM(Table39[[#This Row],[CNA Hours]], Table39[[#This Row],[NA in Training Hours]], Table39[[#This Row],[Med Aide/Tech Hours]])</f>
        <v>283.09666666666669</v>
      </c>
      <c r="AE7" s="3">
        <f>SUM(Table39[[#This Row],[CNA Hours Contract]], Table39[[#This Row],[NA in Training Hours Contract]], Table39[[#This Row],[Med Aide/Tech Hours Contract]])</f>
        <v>0</v>
      </c>
      <c r="AF7" s="4">
        <f>Table39[[#This Row],[CNA/NA/Med Aide Contract Hours]]/Table39[[#This Row],[Total CNA, NA in Training, Med Aide/Tech Hours]]</f>
        <v>0</v>
      </c>
      <c r="AG7" s="3">
        <v>283.09666666666669</v>
      </c>
      <c r="AH7" s="3">
        <v>0</v>
      </c>
      <c r="AI7" s="4">
        <f>Table39[[#This Row],[CNA Hours Contract]]/Table39[[#This Row],[CNA Hours]]</f>
        <v>0</v>
      </c>
      <c r="AJ7" s="3">
        <v>0</v>
      </c>
      <c r="AK7" s="3">
        <v>0</v>
      </c>
      <c r="AL7" s="4">
        <v>0</v>
      </c>
      <c r="AM7" s="3">
        <v>0</v>
      </c>
      <c r="AN7" s="3">
        <v>0</v>
      </c>
      <c r="AO7" s="4">
        <v>0</v>
      </c>
      <c r="AP7" s="1" t="s">
        <v>5</v>
      </c>
      <c r="AQ7" s="1">
        <v>9</v>
      </c>
    </row>
    <row r="8" spans="1:43" x14ac:dyDescent="0.2">
      <c r="A8" s="1" t="s">
        <v>41</v>
      </c>
      <c r="B8" s="1" t="s">
        <v>48</v>
      </c>
      <c r="C8" s="1" t="s">
        <v>87</v>
      </c>
      <c r="D8" s="1" t="s">
        <v>104</v>
      </c>
      <c r="E8" s="3">
        <v>233.45555555555555</v>
      </c>
      <c r="F8" s="3">
        <f t="shared" si="0"/>
        <v>1048.3875555555555</v>
      </c>
      <c r="G8" s="3">
        <f>SUM(Table39[[#This Row],[RN Hours Contract (W/ Admin, DON)]], Table39[[#This Row],[LPN Contract Hours (w/ Admin)]], Table39[[#This Row],[CNA/NA/Med Aide Contract Hours]])</f>
        <v>2.9565555555555552</v>
      </c>
      <c r="H8" s="4">
        <f>Table39[[#This Row],[Total Contract Hours]]/Table39[[#This Row],[Total Hours Nurse Staffing]]</f>
        <v>2.8200979112050161E-3</v>
      </c>
      <c r="I8" s="3">
        <f>SUM(Table39[[#This Row],[RN Hours]], Table39[[#This Row],[RN Admin Hours]], Table39[[#This Row],[RN DON Hours]])</f>
        <v>341.76277777777779</v>
      </c>
      <c r="J8" s="3">
        <f t="shared" si="1"/>
        <v>1.1111111111111112E-2</v>
      </c>
      <c r="K8" s="4">
        <f>Table39[[#This Row],[RN Hours Contract (W/ Admin, DON)]]/Table39[[#This Row],[RN Hours (w/ Admin, DON)]]</f>
        <v>3.2511179781947516E-5</v>
      </c>
      <c r="L8" s="3">
        <v>242.25200000000001</v>
      </c>
      <c r="M8" s="3">
        <v>1.1111111111111112E-2</v>
      </c>
      <c r="N8" s="4">
        <f>Table39[[#This Row],[RN Hours Contract]]/Table39[[#This Row],[RN Hours]]</f>
        <v>4.5865921070253748E-5</v>
      </c>
      <c r="O8" s="3">
        <v>94.444111111111127</v>
      </c>
      <c r="P8" s="3">
        <v>0</v>
      </c>
      <c r="Q8" s="4">
        <f>Table39[[#This Row],[RN Admin Hours Contract]]/Table39[[#This Row],[RN Admin Hours]]</f>
        <v>0</v>
      </c>
      <c r="R8" s="3">
        <v>5.0666666666666664</v>
      </c>
      <c r="S8" s="3">
        <v>0</v>
      </c>
      <c r="T8" s="4">
        <f>Table39[[#This Row],[RN DON Hours Contract]]/Table39[[#This Row],[RN DON Hours]]</f>
        <v>0</v>
      </c>
      <c r="U8" s="3">
        <f>SUM(Table39[[#This Row],[LPN Hours]], Table39[[#This Row],[LPN Admin Hours]])</f>
        <v>44.277999999999999</v>
      </c>
      <c r="V8" s="3">
        <f>Table39[[#This Row],[LPN Hours Contract]]+Table39[[#This Row],[LPN Admin Hours Contract]]</f>
        <v>1.6476666666666666</v>
      </c>
      <c r="W8" s="4">
        <f t="shared" si="2"/>
        <v>3.7211858409744496E-2</v>
      </c>
      <c r="X8" s="3">
        <v>42.237888888888889</v>
      </c>
      <c r="Y8" s="3">
        <v>1.6476666666666666</v>
      </c>
      <c r="Z8" s="4">
        <f>Table39[[#This Row],[LPN Hours Contract]]/Table39[[#This Row],[LPN Hours]]</f>
        <v>3.9009209740596254E-2</v>
      </c>
      <c r="AA8" s="3">
        <v>2.0401111111111114</v>
      </c>
      <c r="AB8" s="3">
        <v>0</v>
      </c>
      <c r="AC8" s="4">
        <f>Table39[[#This Row],[LPN Admin Hours Contract]]/Table39[[#This Row],[LPN Admin Hours]]</f>
        <v>0</v>
      </c>
      <c r="AD8" s="3">
        <f>SUM(Table39[[#This Row],[CNA Hours]], Table39[[#This Row],[NA in Training Hours]], Table39[[#This Row],[Med Aide/Tech Hours]])</f>
        <v>662.34677777777779</v>
      </c>
      <c r="AE8" s="3">
        <f>SUM(Table39[[#This Row],[CNA Hours Contract]], Table39[[#This Row],[NA in Training Hours Contract]], Table39[[#This Row],[Med Aide/Tech Hours Contract]])</f>
        <v>1.2977777777777777</v>
      </c>
      <c r="AF8" s="4">
        <f>Table39[[#This Row],[CNA/NA/Med Aide Contract Hours]]/Table39[[#This Row],[Total CNA, NA in Training, Med Aide/Tech Hours]]</f>
        <v>1.9593630124266894E-3</v>
      </c>
      <c r="AG8" s="3">
        <v>652.05766666666671</v>
      </c>
      <c r="AH8" s="3">
        <v>1.2977777777777777</v>
      </c>
      <c r="AI8" s="4">
        <f>Table39[[#This Row],[CNA Hours Contract]]/Table39[[#This Row],[CNA Hours]]</f>
        <v>1.9902806824004487E-3</v>
      </c>
      <c r="AJ8" s="3">
        <v>10.289111111111112</v>
      </c>
      <c r="AK8" s="3">
        <v>0</v>
      </c>
      <c r="AL8" s="4">
        <f>Table39[[#This Row],[NA in Training Hours Contract]]/Table39[[#This Row],[NA in Training Hours]]</f>
        <v>0</v>
      </c>
      <c r="AM8" s="3">
        <v>0</v>
      </c>
      <c r="AN8" s="3">
        <v>0</v>
      </c>
      <c r="AO8" s="4">
        <v>0</v>
      </c>
      <c r="AP8" s="1" t="s">
        <v>6</v>
      </c>
      <c r="AQ8" s="1">
        <v>9</v>
      </c>
    </row>
    <row r="9" spans="1:43" x14ac:dyDescent="0.2">
      <c r="A9" s="1" t="s">
        <v>41</v>
      </c>
      <c r="B9" s="1" t="s">
        <v>49</v>
      </c>
      <c r="C9" s="1" t="s">
        <v>87</v>
      </c>
      <c r="D9" s="1" t="s">
        <v>104</v>
      </c>
      <c r="E9" s="3">
        <v>87.144444444444446</v>
      </c>
      <c r="F9" s="3">
        <f t="shared" si="0"/>
        <v>462.73611111111114</v>
      </c>
      <c r="G9" s="3">
        <f>SUM(Table39[[#This Row],[RN Hours Contract (W/ Admin, DON)]], Table39[[#This Row],[LPN Contract Hours (w/ Admin)]], Table39[[#This Row],[CNA/NA/Med Aide Contract Hours]])</f>
        <v>8.0333333333333332</v>
      </c>
      <c r="H9" s="4">
        <f>Table39[[#This Row],[Total Contract Hours]]/Table39[[#This Row],[Total Hours Nurse Staffing]]</f>
        <v>1.7360506648257643E-2</v>
      </c>
      <c r="I9" s="3">
        <f>SUM(Table39[[#This Row],[RN Hours]], Table39[[#This Row],[RN Admin Hours]], Table39[[#This Row],[RN DON Hours]])</f>
        <v>120.6111111111111</v>
      </c>
      <c r="J9" s="3">
        <f t="shared" si="1"/>
        <v>0</v>
      </c>
      <c r="K9" s="4">
        <f>Table39[[#This Row],[RN Hours Contract (W/ Admin, DON)]]/Table39[[#This Row],[RN Hours (w/ Admin, DON)]]</f>
        <v>0</v>
      </c>
      <c r="L9" s="3">
        <v>109.76666666666667</v>
      </c>
      <c r="M9" s="3">
        <v>0</v>
      </c>
      <c r="N9" s="4">
        <f>Table39[[#This Row],[RN Hours Contract]]/Table39[[#This Row],[RN Hours]]</f>
        <v>0</v>
      </c>
      <c r="O9" s="3">
        <v>5.333333333333333</v>
      </c>
      <c r="P9" s="3">
        <v>0</v>
      </c>
      <c r="Q9" s="4">
        <f>Table39[[#This Row],[RN Admin Hours Contract]]/Table39[[#This Row],[RN Admin Hours]]</f>
        <v>0</v>
      </c>
      <c r="R9" s="3">
        <v>5.5111111111111111</v>
      </c>
      <c r="S9" s="3">
        <v>0</v>
      </c>
      <c r="T9" s="4">
        <f>Table39[[#This Row],[RN DON Hours Contract]]/Table39[[#This Row],[RN DON Hours]]</f>
        <v>0</v>
      </c>
      <c r="U9" s="3">
        <f>SUM(Table39[[#This Row],[LPN Hours]], Table39[[#This Row],[LPN Admin Hours]])</f>
        <v>27.330555555555556</v>
      </c>
      <c r="V9" s="3">
        <f>Table39[[#This Row],[LPN Hours Contract]]+Table39[[#This Row],[LPN Admin Hours Contract]]</f>
        <v>0</v>
      </c>
      <c r="W9" s="4">
        <f t="shared" si="2"/>
        <v>0</v>
      </c>
      <c r="X9" s="3">
        <v>27.330555555555556</v>
      </c>
      <c r="Y9" s="3">
        <v>0</v>
      </c>
      <c r="Z9" s="4">
        <f>Table39[[#This Row],[LPN Hours Contract]]/Table39[[#This Row],[LPN Hours]]</f>
        <v>0</v>
      </c>
      <c r="AA9" s="3">
        <v>0</v>
      </c>
      <c r="AB9" s="3">
        <v>0</v>
      </c>
      <c r="AC9" s="4">
        <v>0</v>
      </c>
      <c r="AD9" s="3">
        <f>SUM(Table39[[#This Row],[CNA Hours]], Table39[[#This Row],[NA in Training Hours]], Table39[[#This Row],[Med Aide/Tech Hours]])</f>
        <v>314.79444444444448</v>
      </c>
      <c r="AE9" s="3">
        <f>SUM(Table39[[#This Row],[CNA Hours Contract]], Table39[[#This Row],[NA in Training Hours Contract]], Table39[[#This Row],[Med Aide/Tech Hours Contract]])</f>
        <v>8.0333333333333332</v>
      </c>
      <c r="AF9" s="4">
        <f>Table39[[#This Row],[CNA/NA/Med Aide Contract Hours]]/Table39[[#This Row],[Total CNA, NA in Training, Med Aide/Tech Hours]]</f>
        <v>2.5519298307537543E-2</v>
      </c>
      <c r="AG9" s="3">
        <v>246.06944444444446</v>
      </c>
      <c r="AH9" s="3">
        <v>8.0333333333333332</v>
      </c>
      <c r="AI9" s="4">
        <f>Table39[[#This Row],[CNA Hours Contract]]/Table39[[#This Row],[CNA Hours]]</f>
        <v>3.2646610599988711E-2</v>
      </c>
      <c r="AJ9" s="3">
        <v>68.724999999999994</v>
      </c>
      <c r="AK9" s="3">
        <v>0</v>
      </c>
      <c r="AL9" s="4">
        <f>Table39[[#This Row],[NA in Training Hours Contract]]/Table39[[#This Row],[NA in Training Hours]]</f>
        <v>0</v>
      </c>
      <c r="AM9" s="3">
        <v>0</v>
      </c>
      <c r="AN9" s="3">
        <v>0</v>
      </c>
      <c r="AO9" s="4">
        <v>0</v>
      </c>
      <c r="AP9" s="1" t="s">
        <v>7</v>
      </c>
      <c r="AQ9" s="1">
        <v>9</v>
      </c>
    </row>
    <row r="10" spans="1:43" x14ac:dyDescent="0.2">
      <c r="A10" s="1" t="s">
        <v>41</v>
      </c>
      <c r="B10" s="1" t="s">
        <v>50</v>
      </c>
      <c r="C10" s="1" t="s">
        <v>87</v>
      </c>
      <c r="D10" s="1" t="s">
        <v>104</v>
      </c>
      <c r="E10" s="3">
        <v>69.788888888888891</v>
      </c>
      <c r="F10" s="3">
        <f t="shared" si="0"/>
        <v>425.5573333333333</v>
      </c>
      <c r="G10" s="3">
        <f>SUM(Table39[[#This Row],[RN Hours Contract (W/ Admin, DON)]], Table39[[#This Row],[LPN Contract Hours (w/ Admin)]], Table39[[#This Row],[CNA/NA/Med Aide Contract Hours]])</f>
        <v>5.0083333333333337</v>
      </c>
      <c r="H10" s="4">
        <f>Table39[[#This Row],[Total Contract Hours]]/Table39[[#This Row],[Total Hours Nurse Staffing]]</f>
        <v>1.1768880338881092E-2</v>
      </c>
      <c r="I10" s="3">
        <f>SUM(Table39[[#This Row],[RN Hours]], Table39[[#This Row],[RN Admin Hours]], Table39[[#This Row],[RN DON Hours]])</f>
        <v>133.36211111111112</v>
      </c>
      <c r="J10" s="3">
        <f t="shared" si="1"/>
        <v>0</v>
      </c>
      <c r="K10" s="4">
        <f>Table39[[#This Row],[RN Hours Contract (W/ Admin, DON)]]/Table39[[#This Row],[RN Hours (w/ Admin, DON)]]</f>
        <v>0</v>
      </c>
      <c r="L10" s="3">
        <v>113.65077777777778</v>
      </c>
      <c r="M10" s="3">
        <v>0</v>
      </c>
      <c r="N10" s="4">
        <f>Table39[[#This Row],[RN Hours Contract]]/Table39[[#This Row],[RN Hours]]</f>
        <v>0</v>
      </c>
      <c r="O10" s="3">
        <v>14.628</v>
      </c>
      <c r="P10" s="3">
        <v>0</v>
      </c>
      <c r="Q10" s="4">
        <f>Table39[[#This Row],[RN Admin Hours Contract]]/Table39[[#This Row],[RN Admin Hours]]</f>
        <v>0</v>
      </c>
      <c r="R10" s="3">
        <v>5.083333333333333</v>
      </c>
      <c r="S10" s="3">
        <v>0</v>
      </c>
      <c r="T10" s="4">
        <f>Table39[[#This Row],[RN DON Hours Contract]]/Table39[[#This Row],[RN DON Hours]]</f>
        <v>0</v>
      </c>
      <c r="U10" s="3">
        <f>SUM(Table39[[#This Row],[LPN Hours]], Table39[[#This Row],[LPN Admin Hours]])</f>
        <v>26.631</v>
      </c>
      <c r="V10" s="3">
        <f>Table39[[#This Row],[LPN Hours Contract]]+Table39[[#This Row],[LPN Admin Hours Contract]]</f>
        <v>0</v>
      </c>
      <c r="W10" s="4">
        <f t="shared" si="2"/>
        <v>0</v>
      </c>
      <c r="X10" s="3">
        <v>26.631</v>
      </c>
      <c r="Y10" s="3">
        <v>0</v>
      </c>
      <c r="Z10" s="4">
        <f>Table39[[#This Row],[LPN Hours Contract]]/Table39[[#This Row],[LPN Hours]]</f>
        <v>0</v>
      </c>
      <c r="AA10" s="3">
        <v>0</v>
      </c>
      <c r="AB10" s="3">
        <v>0</v>
      </c>
      <c r="AC10" s="4">
        <v>0</v>
      </c>
      <c r="AD10" s="3">
        <f>SUM(Table39[[#This Row],[CNA Hours]], Table39[[#This Row],[NA in Training Hours]], Table39[[#This Row],[Med Aide/Tech Hours]])</f>
        <v>265.56422222222221</v>
      </c>
      <c r="AE10" s="3">
        <f>SUM(Table39[[#This Row],[CNA Hours Contract]], Table39[[#This Row],[NA in Training Hours Contract]], Table39[[#This Row],[Med Aide/Tech Hours Contract]])</f>
        <v>5.0083333333333337</v>
      </c>
      <c r="AF10" s="4">
        <f>Table39[[#This Row],[CNA/NA/Med Aide Contract Hours]]/Table39[[#This Row],[Total CNA, NA in Training, Med Aide/Tech Hours]]</f>
        <v>1.8859217146888096E-2</v>
      </c>
      <c r="AG10" s="3">
        <v>265.56422222222221</v>
      </c>
      <c r="AH10" s="3">
        <v>5.0083333333333337</v>
      </c>
      <c r="AI10" s="4">
        <f>Table39[[#This Row],[CNA Hours Contract]]/Table39[[#This Row],[CNA Hours]]</f>
        <v>1.8859217146888096E-2</v>
      </c>
      <c r="AJ10" s="3">
        <v>0</v>
      </c>
      <c r="AK10" s="3">
        <v>0</v>
      </c>
      <c r="AL10" s="4">
        <v>0</v>
      </c>
      <c r="AM10" s="3">
        <v>0</v>
      </c>
      <c r="AN10" s="3">
        <v>0</v>
      </c>
      <c r="AO10" s="4">
        <v>0</v>
      </c>
      <c r="AP10" s="1" t="s">
        <v>8</v>
      </c>
      <c r="AQ10" s="1">
        <v>9</v>
      </c>
    </row>
    <row r="11" spans="1:43" x14ac:dyDescent="0.2">
      <c r="A11" s="1" t="s">
        <v>41</v>
      </c>
      <c r="B11" s="1" t="s">
        <v>51</v>
      </c>
      <c r="C11" s="1" t="s">
        <v>88</v>
      </c>
      <c r="D11" s="1" t="s">
        <v>104</v>
      </c>
      <c r="E11" s="3">
        <v>94.522222222222226</v>
      </c>
      <c r="F11" s="3">
        <f t="shared" si="0"/>
        <v>418.09722222222217</v>
      </c>
      <c r="G11" s="3">
        <f>SUM(Table39[[#This Row],[RN Hours Contract (W/ Admin, DON)]], Table39[[#This Row],[LPN Contract Hours (w/ Admin)]], Table39[[#This Row],[CNA/NA/Med Aide Contract Hours]])</f>
        <v>13.155555555555555</v>
      </c>
      <c r="H11" s="4">
        <f>Table39[[#This Row],[Total Contract Hours]]/Table39[[#This Row],[Total Hours Nurse Staffing]]</f>
        <v>3.1465302461548689E-2</v>
      </c>
      <c r="I11" s="3">
        <f>SUM(Table39[[#This Row],[RN Hours]], Table39[[#This Row],[RN Admin Hours]], Table39[[#This Row],[RN DON Hours]])</f>
        <v>143.17222222222222</v>
      </c>
      <c r="J11" s="3">
        <f t="shared" si="1"/>
        <v>0</v>
      </c>
      <c r="K11" s="4">
        <f>Table39[[#This Row],[RN Hours Contract (W/ Admin, DON)]]/Table39[[#This Row],[RN Hours (w/ Admin, DON)]]</f>
        <v>0</v>
      </c>
      <c r="L11" s="3">
        <v>72.663888888888891</v>
      </c>
      <c r="M11" s="3">
        <v>0</v>
      </c>
      <c r="N11" s="4">
        <f>Table39[[#This Row],[RN Hours Contract]]/Table39[[#This Row],[RN Hours]]</f>
        <v>0</v>
      </c>
      <c r="O11" s="3">
        <v>65.352777777777774</v>
      </c>
      <c r="P11" s="3">
        <v>0</v>
      </c>
      <c r="Q11" s="4">
        <f>Table39[[#This Row],[RN Admin Hours Contract]]/Table39[[#This Row],[RN Admin Hours]]</f>
        <v>0</v>
      </c>
      <c r="R11" s="3">
        <v>5.1555555555555559</v>
      </c>
      <c r="S11" s="3">
        <v>0</v>
      </c>
      <c r="T11" s="4">
        <f>Table39[[#This Row],[RN DON Hours Contract]]/Table39[[#This Row],[RN DON Hours]]</f>
        <v>0</v>
      </c>
      <c r="U11" s="3">
        <f>SUM(Table39[[#This Row],[LPN Hours]], Table39[[#This Row],[LPN Admin Hours]])</f>
        <v>36.975000000000001</v>
      </c>
      <c r="V11" s="3">
        <f>Table39[[#This Row],[LPN Hours Contract]]+Table39[[#This Row],[LPN Admin Hours Contract]]</f>
        <v>0</v>
      </c>
      <c r="W11" s="4">
        <f t="shared" si="2"/>
        <v>0</v>
      </c>
      <c r="X11" s="3">
        <v>36.975000000000001</v>
      </c>
      <c r="Y11" s="3">
        <v>0</v>
      </c>
      <c r="Z11" s="4">
        <f>Table39[[#This Row],[LPN Hours Contract]]/Table39[[#This Row],[LPN Hours]]</f>
        <v>0</v>
      </c>
      <c r="AA11" s="3">
        <v>0</v>
      </c>
      <c r="AB11" s="3">
        <v>0</v>
      </c>
      <c r="AC11" s="4">
        <v>0</v>
      </c>
      <c r="AD11" s="3">
        <f>SUM(Table39[[#This Row],[CNA Hours]], Table39[[#This Row],[NA in Training Hours]], Table39[[#This Row],[Med Aide/Tech Hours]])</f>
        <v>237.95</v>
      </c>
      <c r="AE11" s="3">
        <f>SUM(Table39[[#This Row],[CNA Hours Contract]], Table39[[#This Row],[NA in Training Hours Contract]], Table39[[#This Row],[Med Aide/Tech Hours Contract]])</f>
        <v>13.155555555555555</v>
      </c>
      <c r="AF11" s="4">
        <f>Table39[[#This Row],[CNA/NA/Med Aide Contract Hours]]/Table39[[#This Row],[Total CNA, NA in Training, Med Aide/Tech Hours]]</f>
        <v>5.5287058438981115E-2</v>
      </c>
      <c r="AG11" s="3">
        <v>237.95</v>
      </c>
      <c r="AH11" s="3">
        <v>13.155555555555555</v>
      </c>
      <c r="AI11" s="4">
        <f>Table39[[#This Row],[CNA Hours Contract]]/Table39[[#This Row],[CNA Hours]]</f>
        <v>5.5287058438981115E-2</v>
      </c>
      <c r="AJ11" s="3">
        <v>0</v>
      </c>
      <c r="AK11" s="3">
        <v>0</v>
      </c>
      <c r="AL11" s="4">
        <v>0</v>
      </c>
      <c r="AM11" s="3">
        <v>0</v>
      </c>
      <c r="AN11" s="3">
        <v>0</v>
      </c>
      <c r="AO11" s="4">
        <v>0</v>
      </c>
      <c r="AP11" s="1" t="s">
        <v>9</v>
      </c>
      <c r="AQ11" s="1">
        <v>9</v>
      </c>
    </row>
    <row r="12" spans="1:43" x14ac:dyDescent="0.2">
      <c r="A12" s="1" t="s">
        <v>41</v>
      </c>
      <c r="B12" s="1" t="s">
        <v>52</v>
      </c>
      <c r="C12" s="1" t="s">
        <v>87</v>
      </c>
      <c r="D12" s="1" t="s">
        <v>104</v>
      </c>
      <c r="E12" s="3">
        <v>148.4111111111111</v>
      </c>
      <c r="F12" s="3">
        <f t="shared" si="0"/>
        <v>683.75888888888881</v>
      </c>
      <c r="G12" s="3">
        <f>SUM(Table39[[#This Row],[RN Hours Contract (W/ Admin, DON)]], Table39[[#This Row],[LPN Contract Hours (w/ Admin)]], Table39[[#This Row],[CNA/NA/Med Aide Contract Hours]])</f>
        <v>73.992222222222196</v>
      </c>
      <c r="H12" s="4">
        <f>Table39[[#This Row],[Total Contract Hours]]/Table39[[#This Row],[Total Hours Nurse Staffing]]</f>
        <v>0.10821390906151127</v>
      </c>
      <c r="I12" s="3">
        <f>SUM(Table39[[#This Row],[RN Hours]], Table39[[#This Row],[RN Admin Hours]], Table39[[#This Row],[RN DON Hours]])</f>
        <v>252.39333333333335</v>
      </c>
      <c r="J12" s="3">
        <f t="shared" si="1"/>
        <v>12.257777777777779</v>
      </c>
      <c r="K12" s="4">
        <f>Table39[[#This Row],[RN Hours Contract (W/ Admin, DON)]]/Table39[[#This Row],[RN Hours (w/ Admin, DON)]]</f>
        <v>4.8566170967713533E-2</v>
      </c>
      <c r="L12" s="3">
        <v>247.79888888888891</v>
      </c>
      <c r="M12" s="3">
        <v>12.257777777777779</v>
      </c>
      <c r="N12" s="4">
        <f>Table39[[#This Row],[RN Hours Contract]]/Table39[[#This Row],[RN Hours]]</f>
        <v>4.9466637371703759E-2</v>
      </c>
      <c r="O12" s="3">
        <v>0.88888888888888884</v>
      </c>
      <c r="P12" s="3">
        <v>0</v>
      </c>
      <c r="Q12" s="4">
        <f>Table39[[#This Row],[RN Admin Hours Contract]]/Table39[[#This Row],[RN Admin Hours]]</f>
        <v>0</v>
      </c>
      <c r="R12" s="3">
        <v>3.7055555555555557</v>
      </c>
      <c r="S12" s="3">
        <v>0</v>
      </c>
      <c r="T12" s="4">
        <f>Table39[[#This Row],[RN DON Hours Contract]]/Table39[[#This Row],[RN DON Hours]]</f>
        <v>0</v>
      </c>
      <c r="U12" s="3">
        <f>SUM(Table39[[#This Row],[LPN Hours]], Table39[[#This Row],[LPN Admin Hours]])</f>
        <v>36.803333333333327</v>
      </c>
      <c r="V12" s="3">
        <f>Table39[[#This Row],[LPN Hours Contract]]+Table39[[#This Row],[LPN Admin Hours Contract]]</f>
        <v>2.5</v>
      </c>
      <c r="W12" s="4">
        <f t="shared" si="2"/>
        <v>6.7928629653111139E-2</v>
      </c>
      <c r="X12" s="3">
        <v>25.335555555555555</v>
      </c>
      <c r="Y12" s="3">
        <v>2.5</v>
      </c>
      <c r="Z12" s="4">
        <f>Table39[[#This Row],[LPN Hours Contract]]/Table39[[#This Row],[LPN Hours]]</f>
        <v>9.8675554775896859E-2</v>
      </c>
      <c r="AA12" s="3">
        <v>11.467777777777776</v>
      </c>
      <c r="AB12" s="3">
        <v>0</v>
      </c>
      <c r="AC12" s="4">
        <f>Table39[[#This Row],[LPN Admin Hours Contract]]/Table39[[#This Row],[LPN Admin Hours]]</f>
        <v>0</v>
      </c>
      <c r="AD12" s="3">
        <f>SUM(Table39[[#This Row],[CNA Hours]], Table39[[#This Row],[NA in Training Hours]], Table39[[#This Row],[Med Aide/Tech Hours]])</f>
        <v>394.5622222222222</v>
      </c>
      <c r="AE12" s="3">
        <f>SUM(Table39[[#This Row],[CNA Hours Contract]], Table39[[#This Row],[NA in Training Hours Contract]], Table39[[#This Row],[Med Aide/Tech Hours Contract]])</f>
        <v>59.234444444444421</v>
      </c>
      <c r="AF12" s="4">
        <f>Table39[[#This Row],[CNA/NA/Med Aide Contract Hours]]/Table39[[#This Row],[Total CNA, NA in Training, Med Aide/Tech Hours]]</f>
        <v>0.15012700433110107</v>
      </c>
      <c r="AG12" s="3">
        <v>394.5622222222222</v>
      </c>
      <c r="AH12" s="3">
        <v>59.234444444444421</v>
      </c>
      <c r="AI12" s="4">
        <f>Table39[[#This Row],[CNA Hours Contract]]/Table39[[#This Row],[CNA Hours]]</f>
        <v>0.15012700433110107</v>
      </c>
      <c r="AJ12" s="3">
        <v>0</v>
      </c>
      <c r="AK12" s="3">
        <v>0</v>
      </c>
      <c r="AL12" s="4">
        <v>0</v>
      </c>
      <c r="AM12" s="3">
        <v>0</v>
      </c>
      <c r="AN12" s="3">
        <v>0</v>
      </c>
      <c r="AO12" s="4">
        <v>0</v>
      </c>
      <c r="AP12" s="1" t="s">
        <v>10</v>
      </c>
      <c r="AQ12" s="1">
        <v>9</v>
      </c>
    </row>
    <row r="13" spans="1:43" x14ac:dyDescent="0.2">
      <c r="A13" s="1" t="s">
        <v>41</v>
      </c>
      <c r="B13" s="1" t="s">
        <v>53</v>
      </c>
      <c r="C13" s="1" t="s">
        <v>87</v>
      </c>
      <c r="D13" s="1" t="s">
        <v>104</v>
      </c>
      <c r="E13" s="3">
        <v>90.977777777777774</v>
      </c>
      <c r="F13" s="3">
        <f t="shared" si="0"/>
        <v>377.69600000000003</v>
      </c>
      <c r="G13" s="3">
        <f>SUM(Table39[[#This Row],[RN Hours Contract (W/ Admin, DON)]], Table39[[#This Row],[LPN Contract Hours (w/ Admin)]], Table39[[#This Row],[CNA/NA/Med Aide Contract Hours]])</f>
        <v>0.16666666666666666</v>
      </c>
      <c r="H13" s="4">
        <f>Table39[[#This Row],[Total Contract Hours]]/Table39[[#This Row],[Total Hours Nurse Staffing]]</f>
        <v>4.4127199299613088E-4</v>
      </c>
      <c r="I13" s="3">
        <f>SUM(Table39[[#This Row],[RN Hours]], Table39[[#This Row],[RN Admin Hours]], Table39[[#This Row],[RN DON Hours]])</f>
        <v>147.09133333333335</v>
      </c>
      <c r="J13" s="3">
        <f t="shared" si="1"/>
        <v>0.16666666666666666</v>
      </c>
      <c r="K13" s="4">
        <f>Table39[[#This Row],[RN Hours Contract (W/ Admin, DON)]]/Table39[[#This Row],[RN Hours (w/ Admin, DON)]]</f>
        <v>1.1330828464854034E-3</v>
      </c>
      <c r="L13" s="3">
        <v>108.46266666666666</v>
      </c>
      <c r="M13" s="3">
        <v>0.16666666666666666</v>
      </c>
      <c r="N13" s="4">
        <f>Table39[[#This Row],[RN Hours Contract]]/Table39[[#This Row],[RN Hours]]</f>
        <v>1.5366270421773389E-3</v>
      </c>
      <c r="O13" s="3">
        <v>33.650888888888893</v>
      </c>
      <c r="P13" s="3">
        <v>0</v>
      </c>
      <c r="Q13" s="4">
        <f>Table39[[#This Row],[RN Admin Hours Contract]]/Table39[[#This Row],[RN Admin Hours]]</f>
        <v>0</v>
      </c>
      <c r="R13" s="3">
        <v>4.9777777777777779</v>
      </c>
      <c r="S13" s="3">
        <v>0</v>
      </c>
      <c r="T13" s="4">
        <f>Table39[[#This Row],[RN DON Hours Contract]]/Table39[[#This Row],[RN DON Hours]]</f>
        <v>0</v>
      </c>
      <c r="U13" s="3">
        <f>SUM(Table39[[#This Row],[LPN Hours]], Table39[[#This Row],[LPN Admin Hours]])</f>
        <v>6.2768888888888883</v>
      </c>
      <c r="V13" s="3">
        <f>Table39[[#This Row],[LPN Hours Contract]]+Table39[[#This Row],[LPN Admin Hours Contract]]</f>
        <v>0</v>
      </c>
      <c r="W13" s="4">
        <f t="shared" si="2"/>
        <v>0</v>
      </c>
      <c r="X13" s="3">
        <v>6.2768888888888883</v>
      </c>
      <c r="Y13" s="3">
        <v>0</v>
      </c>
      <c r="Z13" s="4">
        <f>Table39[[#This Row],[LPN Hours Contract]]/Table39[[#This Row],[LPN Hours]]</f>
        <v>0</v>
      </c>
      <c r="AA13" s="3">
        <v>0</v>
      </c>
      <c r="AB13" s="3">
        <v>0</v>
      </c>
      <c r="AC13" s="4">
        <v>0</v>
      </c>
      <c r="AD13" s="3">
        <f>SUM(Table39[[#This Row],[CNA Hours]], Table39[[#This Row],[NA in Training Hours]], Table39[[#This Row],[Med Aide/Tech Hours]])</f>
        <v>224.32777777777778</v>
      </c>
      <c r="AE13" s="3">
        <f>SUM(Table39[[#This Row],[CNA Hours Contract]], Table39[[#This Row],[NA in Training Hours Contract]], Table39[[#This Row],[Med Aide/Tech Hours Contract]])</f>
        <v>0</v>
      </c>
      <c r="AF13" s="4">
        <f>Table39[[#This Row],[CNA/NA/Med Aide Contract Hours]]/Table39[[#This Row],[Total CNA, NA in Training, Med Aide/Tech Hours]]</f>
        <v>0</v>
      </c>
      <c r="AG13" s="3">
        <v>210.45155555555556</v>
      </c>
      <c r="AH13" s="3">
        <v>0</v>
      </c>
      <c r="AI13" s="4">
        <f>Table39[[#This Row],[CNA Hours Contract]]/Table39[[#This Row],[CNA Hours]]</f>
        <v>0</v>
      </c>
      <c r="AJ13" s="3">
        <v>13.876222222222227</v>
      </c>
      <c r="AK13" s="3">
        <v>0</v>
      </c>
      <c r="AL13" s="4">
        <f>Table39[[#This Row],[NA in Training Hours Contract]]/Table39[[#This Row],[NA in Training Hours]]</f>
        <v>0</v>
      </c>
      <c r="AM13" s="3">
        <v>0</v>
      </c>
      <c r="AN13" s="3">
        <v>0</v>
      </c>
      <c r="AO13" s="4">
        <v>0</v>
      </c>
      <c r="AP13" s="1" t="s">
        <v>11</v>
      </c>
      <c r="AQ13" s="1">
        <v>9</v>
      </c>
    </row>
    <row r="14" spans="1:43" x14ac:dyDescent="0.2">
      <c r="A14" s="1" t="s">
        <v>41</v>
      </c>
      <c r="B14" s="1" t="s">
        <v>54</v>
      </c>
      <c r="C14" s="1" t="s">
        <v>89</v>
      </c>
      <c r="D14" s="1" t="s">
        <v>103</v>
      </c>
      <c r="E14" s="3">
        <v>19.722222222222221</v>
      </c>
      <c r="F14" s="3">
        <f t="shared" si="0"/>
        <v>86.769444444444446</v>
      </c>
      <c r="G14" s="3">
        <f>SUM(Table39[[#This Row],[RN Hours Contract (W/ Admin, DON)]], Table39[[#This Row],[LPN Contract Hours (w/ Admin)]], Table39[[#This Row],[CNA/NA/Med Aide Contract Hours]])</f>
        <v>0</v>
      </c>
      <c r="H14" s="4">
        <f>Table39[[#This Row],[Total Contract Hours]]/Table39[[#This Row],[Total Hours Nurse Staffing]]</f>
        <v>0</v>
      </c>
      <c r="I14" s="3">
        <f>SUM(Table39[[#This Row],[RN Hours]], Table39[[#This Row],[RN Admin Hours]], Table39[[#This Row],[RN DON Hours]])</f>
        <v>17.888888888888889</v>
      </c>
      <c r="J14" s="3">
        <f t="shared" si="1"/>
        <v>0</v>
      </c>
      <c r="K14" s="4">
        <f>Table39[[#This Row],[RN Hours Contract (W/ Admin, DON)]]/Table39[[#This Row],[RN Hours (w/ Admin, DON)]]</f>
        <v>0</v>
      </c>
      <c r="L14" s="3">
        <v>13.694444444444445</v>
      </c>
      <c r="M14" s="3">
        <v>0</v>
      </c>
      <c r="N14" s="4">
        <f>Table39[[#This Row],[RN Hours Contract]]/Table39[[#This Row],[RN Hours]]</f>
        <v>0</v>
      </c>
      <c r="O14" s="3">
        <v>4.1944444444444446</v>
      </c>
      <c r="P14" s="3">
        <v>0</v>
      </c>
      <c r="Q14" s="4">
        <f>Table39[[#This Row],[RN Admin Hours Contract]]/Table39[[#This Row],[RN Admin Hours]]</f>
        <v>0</v>
      </c>
      <c r="R14" s="3">
        <v>0</v>
      </c>
      <c r="S14" s="3">
        <v>0</v>
      </c>
      <c r="T14" s="4">
        <v>0</v>
      </c>
      <c r="U14" s="3">
        <f>SUM(Table39[[#This Row],[LPN Hours]], Table39[[#This Row],[LPN Admin Hours]])</f>
        <v>15.147222222222222</v>
      </c>
      <c r="V14" s="3">
        <f>Table39[[#This Row],[LPN Hours Contract]]+Table39[[#This Row],[LPN Admin Hours Contract]]</f>
        <v>0</v>
      </c>
      <c r="W14" s="4">
        <f t="shared" si="2"/>
        <v>0</v>
      </c>
      <c r="X14" s="3">
        <v>15.147222222222222</v>
      </c>
      <c r="Y14" s="3">
        <v>0</v>
      </c>
      <c r="Z14" s="4">
        <f>Table39[[#This Row],[LPN Hours Contract]]/Table39[[#This Row],[LPN Hours]]</f>
        <v>0</v>
      </c>
      <c r="AA14" s="3">
        <v>0</v>
      </c>
      <c r="AB14" s="3">
        <v>0</v>
      </c>
      <c r="AC14" s="4">
        <v>0</v>
      </c>
      <c r="AD14" s="3">
        <f>SUM(Table39[[#This Row],[CNA Hours]], Table39[[#This Row],[NA in Training Hours]], Table39[[#This Row],[Med Aide/Tech Hours]])</f>
        <v>53.733333333333334</v>
      </c>
      <c r="AE14" s="3">
        <f>SUM(Table39[[#This Row],[CNA Hours Contract]], Table39[[#This Row],[NA in Training Hours Contract]], Table39[[#This Row],[Med Aide/Tech Hours Contract]])</f>
        <v>0</v>
      </c>
      <c r="AF14" s="4">
        <f>Table39[[#This Row],[CNA/NA/Med Aide Contract Hours]]/Table39[[#This Row],[Total CNA, NA in Training, Med Aide/Tech Hours]]</f>
        <v>0</v>
      </c>
      <c r="AG14" s="3">
        <v>53.733333333333334</v>
      </c>
      <c r="AH14" s="3">
        <v>0</v>
      </c>
      <c r="AI14" s="4">
        <f>Table39[[#This Row],[CNA Hours Contract]]/Table39[[#This Row],[CNA Hours]]</f>
        <v>0</v>
      </c>
      <c r="AJ14" s="3">
        <v>0</v>
      </c>
      <c r="AK14" s="3">
        <v>0</v>
      </c>
      <c r="AL14" s="4">
        <v>0</v>
      </c>
      <c r="AM14" s="3">
        <v>0</v>
      </c>
      <c r="AN14" s="3">
        <v>0</v>
      </c>
      <c r="AO14" s="4">
        <v>0</v>
      </c>
      <c r="AP14" s="1" t="s">
        <v>12</v>
      </c>
      <c r="AQ14" s="1">
        <v>9</v>
      </c>
    </row>
    <row r="15" spans="1:43" x14ac:dyDescent="0.2">
      <c r="A15" s="1" t="s">
        <v>41</v>
      </c>
      <c r="B15" s="1" t="s">
        <v>55</v>
      </c>
      <c r="C15" s="1" t="s">
        <v>87</v>
      </c>
      <c r="D15" s="1" t="s">
        <v>104</v>
      </c>
      <c r="E15" s="3">
        <v>67.388888888888886</v>
      </c>
      <c r="F15" s="3">
        <f t="shared" si="0"/>
        <v>212.94722222222222</v>
      </c>
      <c r="G15" s="3">
        <f>SUM(Table39[[#This Row],[RN Hours Contract (W/ Admin, DON)]], Table39[[#This Row],[LPN Contract Hours (w/ Admin)]], Table39[[#This Row],[CNA/NA/Med Aide Contract Hours]])</f>
        <v>0</v>
      </c>
      <c r="H15" s="4">
        <f>Table39[[#This Row],[Total Contract Hours]]/Table39[[#This Row],[Total Hours Nurse Staffing]]</f>
        <v>0</v>
      </c>
      <c r="I15" s="3">
        <f>SUM(Table39[[#This Row],[RN Hours]], Table39[[#This Row],[RN Admin Hours]], Table39[[#This Row],[RN DON Hours]])</f>
        <v>82.102777777777774</v>
      </c>
      <c r="J15" s="3">
        <f t="shared" si="1"/>
        <v>0</v>
      </c>
      <c r="K15" s="4">
        <f>Table39[[#This Row],[RN Hours Contract (W/ Admin, DON)]]/Table39[[#This Row],[RN Hours (w/ Admin, DON)]]</f>
        <v>0</v>
      </c>
      <c r="L15" s="3">
        <v>68.569444444444443</v>
      </c>
      <c r="M15" s="3">
        <v>0</v>
      </c>
      <c r="N15" s="4">
        <f>Table39[[#This Row],[RN Hours Contract]]/Table39[[#This Row],[RN Hours]]</f>
        <v>0</v>
      </c>
      <c r="O15" s="3">
        <v>7.9333333333333336</v>
      </c>
      <c r="P15" s="3">
        <v>0</v>
      </c>
      <c r="Q15" s="4">
        <f>Table39[[#This Row],[RN Admin Hours Contract]]/Table39[[#This Row],[RN Admin Hours]]</f>
        <v>0</v>
      </c>
      <c r="R15" s="3">
        <v>5.6</v>
      </c>
      <c r="S15" s="3">
        <v>0</v>
      </c>
      <c r="T15" s="4">
        <f>Table39[[#This Row],[RN DON Hours Contract]]/Table39[[#This Row],[RN DON Hours]]</f>
        <v>0</v>
      </c>
      <c r="U15" s="3">
        <f>SUM(Table39[[#This Row],[LPN Hours]], Table39[[#This Row],[LPN Admin Hours]])</f>
        <v>9.2361111111111107</v>
      </c>
      <c r="V15" s="3">
        <f>Table39[[#This Row],[LPN Hours Contract]]+Table39[[#This Row],[LPN Admin Hours Contract]]</f>
        <v>0</v>
      </c>
      <c r="W15" s="4">
        <f t="shared" si="2"/>
        <v>0</v>
      </c>
      <c r="X15" s="3">
        <v>9.2361111111111107</v>
      </c>
      <c r="Y15" s="3">
        <v>0</v>
      </c>
      <c r="Z15" s="4">
        <f>Table39[[#This Row],[LPN Hours Contract]]/Table39[[#This Row],[LPN Hours]]</f>
        <v>0</v>
      </c>
      <c r="AA15" s="3">
        <v>0</v>
      </c>
      <c r="AB15" s="3">
        <v>0</v>
      </c>
      <c r="AC15" s="4">
        <v>0</v>
      </c>
      <c r="AD15" s="3">
        <f>SUM(Table39[[#This Row],[CNA Hours]], Table39[[#This Row],[NA in Training Hours]], Table39[[#This Row],[Med Aide/Tech Hours]])</f>
        <v>121.60833333333333</v>
      </c>
      <c r="AE15" s="3">
        <f>SUM(Table39[[#This Row],[CNA Hours Contract]], Table39[[#This Row],[NA in Training Hours Contract]], Table39[[#This Row],[Med Aide/Tech Hours Contract]])</f>
        <v>0</v>
      </c>
      <c r="AF15" s="4">
        <f>Table39[[#This Row],[CNA/NA/Med Aide Contract Hours]]/Table39[[#This Row],[Total CNA, NA in Training, Med Aide/Tech Hours]]</f>
        <v>0</v>
      </c>
      <c r="AG15" s="3">
        <v>112.00555555555556</v>
      </c>
      <c r="AH15" s="3">
        <v>0</v>
      </c>
      <c r="AI15" s="4">
        <f>Table39[[#This Row],[CNA Hours Contract]]/Table39[[#This Row],[CNA Hours]]</f>
        <v>0</v>
      </c>
      <c r="AJ15" s="3">
        <v>9.6027777777777779</v>
      </c>
      <c r="AK15" s="3">
        <v>0</v>
      </c>
      <c r="AL15" s="4">
        <f>Table39[[#This Row],[NA in Training Hours Contract]]/Table39[[#This Row],[NA in Training Hours]]</f>
        <v>0</v>
      </c>
      <c r="AM15" s="3">
        <v>0</v>
      </c>
      <c r="AN15" s="3">
        <v>0</v>
      </c>
      <c r="AO15" s="4">
        <v>0</v>
      </c>
      <c r="AP15" s="1" t="s">
        <v>13</v>
      </c>
      <c r="AQ15" s="1">
        <v>9</v>
      </c>
    </row>
    <row r="16" spans="1:43" x14ac:dyDescent="0.2">
      <c r="A16" s="1" t="s">
        <v>41</v>
      </c>
      <c r="B16" s="1" t="s">
        <v>56</v>
      </c>
      <c r="C16" s="1" t="s">
        <v>87</v>
      </c>
      <c r="D16" s="1" t="s">
        <v>104</v>
      </c>
      <c r="E16" s="3">
        <v>140.75555555555556</v>
      </c>
      <c r="F16" s="3">
        <f t="shared" si="0"/>
        <v>538.96833333333325</v>
      </c>
      <c r="G16" s="3">
        <f>SUM(Table39[[#This Row],[RN Hours Contract (W/ Admin, DON)]], Table39[[#This Row],[LPN Contract Hours (w/ Admin)]], Table39[[#This Row],[CNA/NA/Med Aide Contract Hours]])</f>
        <v>26.134444444444444</v>
      </c>
      <c r="H16" s="4">
        <f>Table39[[#This Row],[Total Contract Hours]]/Table39[[#This Row],[Total Hours Nurse Staffing]]</f>
        <v>4.8489758726290876E-2</v>
      </c>
      <c r="I16" s="3">
        <f>SUM(Table39[[#This Row],[RN Hours]], Table39[[#This Row],[RN Admin Hours]], Table39[[#This Row],[RN DON Hours]])</f>
        <v>172.76133333333334</v>
      </c>
      <c r="J16" s="3">
        <f t="shared" si="1"/>
        <v>6.7372222222222229</v>
      </c>
      <c r="K16" s="4">
        <f>Table39[[#This Row],[RN Hours Contract (W/ Admin, DON)]]/Table39[[#This Row],[RN Hours (w/ Admin, DON)]]</f>
        <v>3.8997280770131176E-2</v>
      </c>
      <c r="L16" s="3">
        <v>124.74188888888889</v>
      </c>
      <c r="M16" s="3">
        <v>6.7372222222222229</v>
      </c>
      <c r="N16" s="4">
        <f>Table39[[#This Row],[RN Hours Contract]]/Table39[[#This Row],[RN Hours]]</f>
        <v>5.4009300983274798E-2</v>
      </c>
      <c r="O16" s="3">
        <v>41.797222222222224</v>
      </c>
      <c r="P16" s="3">
        <v>0</v>
      </c>
      <c r="Q16" s="4">
        <f>Table39[[#This Row],[RN Admin Hours Contract]]/Table39[[#This Row],[RN Admin Hours]]</f>
        <v>0</v>
      </c>
      <c r="R16" s="3">
        <v>6.2222222222222223</v>
      </c>
      <c r="S16" s="3">
        <v>0</v>
      </c>
      <c r="T16" s="4">
        <f>Table39[[#This Row],[RN DON Hours Contract]]/Table39[[#This Row],[RN DON Hours]]</f>
        <v>0</v>
      </c>
      <c r="U16" s="3">
        <f>SUM(Table39[[#This Row],[LPN Hours]], Table39[[#This Row],[LPN Admin Hours]])</f>
        <v>67.515666666666661</v>
      </c>
      <c r="V16" s="3">
        <f>Table39[[#This Row],[LPN Hours Contract]]+Table39[[#This Row],[LPN Admin Hours Contract]]</f>
        <v>0.62222222222222223</v>
      </c>
      <c r="W16" s="4">
        <f t="shared" si="2"/>
        <v>9.2159679810941003E-3</v>
      </c>
      <c r="X16" s="3">
        <v>67.515666666666661</v>
      </c>
      <c r="Y16" s="3">
        <v>0.62222222222222223</v>
      </c>
      <c r="Z16" s="4">
        <f>Table39[[#This Row],[LPN Hours Contract]]/Table39[[#This Row],[LPN Hours]]</f>
        <v>9.2159679810941003E-3</v>
      </c>
      <c r="AA16" s="3">
        <v>0</v>
      </c>
      <c r="AB16" s="3">
        <v>0</v>
      </c>
      <c r="AC16" s="4">
        <v>0</v>
      </c>
      <c r="AD16" s="3">
        <f>SUM(Table39[[#This Row],[CNA Hours]], Table39[[#This Row],[NA in Training Hours]], Table39[[#This Row],[Med Aide/Tech Hours]])</f>
        <v>298.69133333333332</v>
      </c>
      <c r="AE16" s="3">
        <f>SUM(Table39[[#This Row],[CNA Hours Contract]], Table39[[#This Row],[NA in Training Hours Contract]], Table39[[#This Row],[Med Aide/Tech Hours Contract]])</f>
        <v>18.774999999999999</v>
      </c>
      <c r="AF16" s="4">
        <f>Table39[[#This Row],[CNA/NA/Med Aide Contract Hours]]/Table39[[#This Row],[Total CNA, NA in Training, Med Aide/Tech Hours]]</f>
        <v>6.2857531855627993E-2</v>
      </c>
      <c r="AG16" s="3">
        <v>298.69133333333332</v>
      </c>
      <c r="AH16" s="3">
        <v>18.774999999999999</v>
      </c>
      <c r="AI16" s="4">
        <f>Table39[[#This Row],[CNA Hours Contract]]/Table39[[#This Row],[CNA Hours]]</f>
        <v>6.2857531855627993E-2</v>
      </c>
      <c r="AJ16" s="3">
        <v>0</v>
      </c>
      <c r="AK16" s="3">
        <v>0</v>
      </c>
      <c r="AL16" s="4">
        <v>0</v>
      </c>
      <c r="AM16" s="3">
        <v>0</v>
      </c>
      <c r="AN16" s="3">
        <v>0</v>
      </c>
      <c r="AO16" s="4">
        <v>0</v>
      </c>
      <c r="AP16" s="1" t="s">
        <v>14</v>
      </c>
      <c r="AQ16" s="1">
        <v>9</v>
      </c>
    </row>
    <row r="17" spans="1:43" x14ac:dyDescent="0.2">
      <c r="A17" s="1" t="s">
        <v>41</v>
      </c>
      <c r="B17" s="1" t="s">
        <v>57</v>
      </c>
      <c r="C17" s="1" t="s">
        <v>90</v>
      </c>
      <c r="D17" s="1" t="s">
        <v>103</v>
      </c>
      <c r="E17" s="3">
        <v>44.344444444444441</v>
      </c>
      <c r="F17" s="3">
        <f t="shared" si="0"/>
        <v>268.75555555555559</v>
      </c>
      <c r="G17" s="3">
        <f>SUM(Table39[[#This Row],[RN Hours Contract (W/ Admin, DON)]], Table39[[#This Row],[LPN Contract Hours (w/ Admin)]], Table39[[#This Row],[CNA/NA/Med Aide Contract Hours]])</f>
        <v>0</v>
      </c>
      <c r="H17" s="4">
        <f>Table39[[#This Row],[Total Contract Hours]]/Table39[[#This Row],[Total Hours Nurse Staffing]]</f>
        <v>0</v>
      </c>
      <c r="I17" s="3">
        <f>SUM(Table39[[#This Row],[RN Hours]], Table39[[#This Row],[RN Admin Hours]], Table39[[#This Row],[RN DON Hours]])</f>
        <v>65.022222222222226</v>
      </c>
      <c r="J17" s="3">
        <f t="shared" si="1"/>
        <v>0</v>
      </c>
      <c r="K17" s="4">
        <f>Table39[[#This Row],[RN Hours Contract (W/ Admin, DON)]]/Table39[[#This Row],[RN Hours (w/ Admin, DON)]]</f>
        <v>0</v>
      </c>
      <c r="L17" s="3">
        <v>61.288888888888891</v>
      </c>
      <c r="M17" s="3">
        <v>0</v>
      </c>
      <c r="N17" s="4">
        <f>Table39[[#This Row],[RN Hours Contract]]/Table39[[#This Row],[RN Hours]]</f>
        <v>0</v>
      </c>
      <c r="O17" s="3">
        <v>3.7333333333333334</v>
      </c>
      <c r="P17" s="3">
        <v>0</v>
      </c>
      <c r="Q17" s="4">
        <f>Table39[[#This Row],[RN Admin Hours Contract]]/Table39[[#This Row],[RN Admin Hours]]</f>
        <v>0</v>
      </c>
      <c r="R17" s="3">
        <v>0</v>
      </c>
      <c r="S17" s="3">
        <v>0</v>
      </c>
      <c r="T17" s="4">
        <v>0</v>
      </c>
      <c r="U17" s="3">
        <f>SUM(Table39[[#This Row],[LPN Hours]], Table39[[#This Row],[LPN Admin Hours]])</f>
        <v>37.333333333333336</v>
      </c>
      <c r="V17" s="3">
        <f>Table39[[#This Row],[LPN Hours Contract]]+Table39[[#This Row],[LPN Admin Hours Contract]]</f>
        <v>0</v>
      </c>
      <c r="W17" s="4">
        <f t="shared" si="2"/>
        <v>0</v>
      </c>
      <c r="X17" s="3">
        <v>37.333333333333336</v>
      </c>
      <c r="Y17" s="3">
        <v>0</v>
      </c>
      <c r="Z17" s="4">
        <f>Table39[[#This Row],[LPN Hours Contract]]/Table39[[#This Row],[LPN Hours]]</f>
        <v>0</v>
      </c>
      <c r="AA17" s="3">
        <v>0</v>
      </c>
      <c r="AB17" s="3">
        <v>0</v>
      </c>
      <c r="AC17" s="4">
        <v>0</v>
      </c>
      <c r="AD17" s="3">
        <f>SUM(Table39[[#This Row],[CNA Hours]], Table39[[#This Row],[NA in Training Hours]], Table39[[#This Row],[Med Aide/Tech Hours]])</f>
        <v>166.4</v>
      </c>
      <c r="AE17" s="3">
        <f>SUM(Table39[[#This Row],[CNA Hours Contract]], Table39[[#This Row],[NA in Training Hours Contract]], Table39[[#This Row],[Med Aide/Tech Hours Contract]])</f>
        <v>0</v>
      </c>
      <c r="AF17" s="4">
        <f>Table39[[#This Row],[CNA/NA/Med Aide Contract Hours]]/Table39[[#This Row],[Total CNA, NA in Training, Med Aide/Tech Hours]]</f>
        <v>0</v>
      </c>
      <c r="AG17" s="3">
        <v>166.4</v>
      </c>
      <c r="AH17" s="3">
        <v>0</v>
      </c>
      <c r="AI17" s="4">
        <f>Table39[[#This Row],[CNA Hours Contract]]/Table39[[#This Row],[CNA Hours]]</f>
        <v>0</v>
      </c>
      <c r="AJ17" s="3">
        <v>0</v>
      </c>
      <c r="AK17" s="3">
        <v>0</v>
      </c>
      <c r="AL17" s="4">
        <v>0</v>
      </c>
      <c r="AM17" s="3">
        <v>0</v>
      </c>
      <c r="AN17" s="3">
        <v>0</v>
      </c>
      <c r="AO17" s="4">
        <v>0</v>
      </c>
      <c r="AP17" s="1" t="s">
        <v>15</v>
      </c>
      <c r="AQ17" s="1">
        <v>9</v>
      </c>
    </row>
    <row r="18" spans="1:43" x14ac:dyDescent="0.2">
      <c r="A18" s="1" t="s">
        <v>41</v>
      </c>
      <c r="B18" s="1" t="s">
        <v>58</v>
      </c>
      <c r="C18" s="1" t="s">
        <v>91</v>
      </c>
      <c r="D18" s="1" t="s">
        <v>101</v>
      </c>
      <c r="E18" s="3">
        <v>58.744444444444447</v>
      </c>
      <c r="F18" s="3">
        <f t="shared" si="0"/>
        <v>266.73722222222221</v>
      </c>
      <c r="G18" s="3">
        <f>SUM(Table39[[#This Row],[RN Hours Contract (W/ Admin, DON)]], Table39[[#This Row],[LPN Contract Hours (w/ Admin)]], Table39[[#This Row],[CNA/NA/Med Aide Contract Hours]])</f>
        <v>5.7555555555555555</v>
      </c>
      <c r="H18" s="4">
        <f>Table39[[#This Row],[Total Contract Hours]]/Table39[[#This Row],[Total Hours Nurse Staffing]]</f>
        <v>2.1577624253582908E-2</v>
      </c>
      <c r="I18" s="3">
        <f>SUM(Table39[[#This Row],[RN Hours]], Table39[[#This Row],[RN Admin Hours]], Table39[[#This Row],[RN DON Hours]])</f>
        <v>60.102777777777774</v>
      </c>
      <c r="J18" s="3">
        <f t="shared" si="1"/>
        <v>0</v>
      </c>
      <c r="K18" s="4">
        <f>Table39[[#This Row],[RN Hours Contract (W/ Admin, DON)]]/Table39[[#This Row],[RN Hours (w/ Admin, DON)]]</f>
        <v>0</v>
      </c>
      <c r="L18" s="3">
        <v>60.102777777777774</v>
      </c>
      <c r="M18" s="3">
        <v>0</v>
      </c>
      <c r="N18" s="4">
        <f>Table39[[#This Row],[RN Hours Contract]]/Table39[[#This Row],[RN Hours]]</f>
        <v>0</v>
      </c>
      <c r="O18" s="3">
        <v>0</v>
      </c>
      <c r="P18" s="3">
        <v>0</v>
      </c>
      <c r="Q18" s="4">
        <v>0</v>
      </c>
      <c r="R18" s="3">
        <v>0</v>
      </c>
      <c r="S18" s="3">
        <v>0</v>
      </c>
      <c r="T18" s="4">
        <v>0</v>
      </c>
      <c r="U18" s="3">
        <f>SUM(Table39[[#This Row],[LPN Hours]], Table39[[#This Row],[LPN Admin Hours]])</f>
        <v>24.331666666666667</v>
      </c>
      <c r="V18" s="3">
        <f>Table39[[#This Row],[LPN Hours Contract]]+Table39[[#This Row],[LPN Admin Hours Contract]]</f>
        <v>5.7555555555555555</v>
      </c>
      <c r="W18" s="4">
        <f t="shared" si="2"/>
        <v>0.23654588213804598</v>
      </c>
      <c r="X18" s="3">
        <v>24.331666666666667</v>
      </c>
      <c r="Y18" s="3">
        <v>5.7555555555555555</v>
      </c>
      <c r="Z18" s="4">
        <f>Table39[[#This Row],[LPN Hours Contract]]/Table39[[#This Row],[LPN Hours]]</f>
        <v>0.23654588213804598</v>
      </c>
      <c r="AA18" s="3">
        <v>0</v>
      </c>
      <c r="AB18" s="3">
        <v>0</v>
      </c>
      <c r="AC18" s="4">
        <v>0</v>
      </c>
      <c r="AD18" s="3">
        <f>SUM(Table39[[#This Row],[CNA Hours]], Table39[[#This Row],[NA in Training Hours]], Table39[[#This Row],[Med Aide/Tech Hours]])</f>
        <v>182.30277777777778</v>
      </c>
      <c r="AE18" s="3">
        <f>SUM(Table39[[#This Row],[CNA Hours Contract]], Table39[[#This Row],[NA in Training Hours Contract]], Table39[[#This Row],[Med Aide/Tech Hours Contract]])</f>
        <v>0</v>
      </c>
      <c r="AF18" s="4">
        <f>Table39[[#This Row],[CNA/NA/Med Aide Contract Hours]]/Table39[[#This Row],[Total CNA, NA in Training, Med Aide/Tech Hours]]</f>
        <v>0</v>
      </c>
      <c r="AG18" s="3">
        <v>182.30277777777778</v>
      </c>
      <c r="AH18" s="3">
        <v>0</v>
      </c>
      <c r="AI18" s="4">
        <f>Table39[[#This Row],[CNA Hours Contract]]/Table39[[#This Row],[CNA Hours]]</f>
        <v>0</v>
      </c>
      <c r="AJ18" s="3">
        <v>0</v>
      </c>
      <c r="AK18" s="3">
        <v>0</v>
      </c>
      <c r="AL18" s="4">
        <v>0</v>
      </c>
      <c r="AM18" s="3">
        <v>0</v>
      </c>
      <c r="AN18" s="3">
        <v>0</v>
      </c>
      <c r="AO18" s="4">
        <v>0</v>
      </c>
      <c r="AP18" s="1" t="s">
        <v>16</v>
      </c>
      <c r="AQ18" s="1">
        <v>9</v>
      </c>
    </row>
    <row r="19" spans="1:43" x14ac:dyDescent="0.2">
      <c r="A19" s="1" t="s">
        <v>41</v>
      </c>
      <c r="B19" s="1" t="s">
        <v>59</v>
      </c>
      <c r="C19" s="1" t="s">
        <v>92</v>
      </c>
      <c r="D19" s="1" t="s">
        <v>104</v>
      </c>
      <c r="E19" s="3">
        <v>34.055555555555557</v>
      </c>
      <c r="F19" s="3">
        <f t="shared" si="0"/>
        <v>152.12522222222225</v>
      </c>
      <c r="G19" s="3">
        <f>SUM(Table39[[#This Row],[RN Hours Contract (W/ Admin, DON)]], Table39[[#This Row],[LPN Contract Hours (w/ Admin)]], Table39[[#This Row],[CNA/NA/Med Aide Contract Hours]])</f>
        <v>5.5555555555555552E-2</v>
      </c>
      <c r="H19" s="4">
        <f>Table39[[#This Row],[Total Contract Hours]]/Table39[[#This Row],[Total Hours Nurse Staffing]]</f>
        <v>3.6519621627504234E-4</v>
      </c>
      <c r="I19" s="3">
        <f>SUM(Table39[[#This Row],[RN Hours]], Table39[[#This Row],[RN Admin Hours]], Table39[[#This Row],[RN DON Hours]])</f>
        <v>45.318777777777797</v>
      </c>
      <c r="J19" s="3">
        <f t="shared" si="1"/>
        <v>5.5555555555555552E-2</v>
      </c>
      <c r="K19" s="4">
        <f>Table39[[#This Row],[RN Hours Contract (W/ Admin, DON)]]/Table39[[#This Row],[RN Hours (w/ Admin, DON)]]</f>
        <v>1.2258838009262772E-3</v>
      </c>
      <c r="L19" s="3">
        <v>5.5862222222222222</v>
      </c>
      <c r="M19" s="3">
        <v>5.5555555555555552E-2</v>
      </c>
      <c r="N19" s="4">
        <f>Table39[[#This Row],[RN Hours Contract]]/Table39[[#This Row],[RN Hours]]</f>
        <v>9.9451030312674039E-3</v>
      </c>
      <c r="O19" s="3">
        <v>34.665888888888908</v>
      </c>
      <c r="P19" s="3">
        <v>0</v>
      </c>
      <c r="Q19" s="4">
        <f>Table39[[#This Row],[RN Admin Hours Contract]]/Table39[[#This Row],[RN Admin Hours]]</f>
        <v>0</v>
      </c>
      <c r="R19" s="3">
        <v>5.0666666666666664</v>
      </c>
      <c r="S19" s="3">
        <v>0</v>
      </c>
      <c r="T19" s="4">
        <f>Table39[[#This Row],[RN DON Hours Contract]]/Table39[[#This Row],[RN DON Hours]]</f>
        <v>0</v>
      </c>
      <c r="U19" s="3">
        <f>SUM(Table39[[#This Row],[LPN Hours]], Table39[[#This Row],[LPN Admin Hours]])</f>
        <v>12.264333333333333</v>
      </c>
      <c r="V19" s="3">
        <f>Table39[[#This Row],[LPN Hours Contract]]+Table39[[#This Row],[LPN Admin Hours Contract]]</f>
        <v>0</v>
      </c>
      <c r="W19" s="4">
        <f t="shared" si="2"/>
        <v>0</v>
      </c>
      <c r="X19" s="3">
        <v>12.264333333333333</v>
      </c>
      <c r="Y19" s="3">
        <v>0</v>
      </c>
      <c r="Z19" s="4">
        <f>Table39[[#This Row],[LPN Hours Contract]]/Table39[[#This Row],[LPN Hours]]</f>
        <v>0</v>
      </c>
      <c r="AA19" s="3">
        <v>0</v>
      </c>
      <c r="AB19" s="3">
        <v>0</v>
      </c>
      <c r="AC19" s="4">
        <v>0</v>
      </c>
      <c r="AD19" s="3">
        <f>SUM(Table39[[#This Row],[CNA Hours]], Table39[[#This Row],[NA in Training Hours]], Table39[[#This Row],[Med Aide/Tech Hours]])</f>
        <v>94.542111111111126</v>
      </c>
      <c r="AE19" s="3">
        <f>SUM(Table39[[#This Row],[CNA Hours Contract]], Table39[[#This Row],[NA in Training Hours Contract]], Table39[[#This Row],[Med Aide/Tech Hours Contract]])</f>
        <v>0</v>
      </c>
      <c r="AF19" s="4">
        <f>Table39[[#This Row],[CNA/NA/Med Aide Contract Hours]]/Table39[[#This Row],[Total CNA, NA in Training, Med Aide/Tech Hours]]</f>
        <v>0</v>
      </c>
      <c r="AG19" s="3">
        <v>94.542111111111126</v>
      </c>
      <c r="AH19" s="3">
        <v>0</v>
      </c>
      <c r="AI19" s="4">
        <f>Table39[[#This Row],[CNA Hours Contract]]/Table39[[#This Row],[CNA Hours]]</f>
        <v>0</v>
      </c>
      <c r="AJ19" s="3">
        <v>0</v>
      </c>
      <c r="AK19" s="3">
        <v>0</v>
      </c>
      <c r="AL19" s="4">
        <v>0</v>
      </c>
      <c r="AM19" s="3">
        <v>0</v>
      </c>
      <c r="AN19" s="3">
        <v>0</v>
      </c>
      <c r="AO19" s="4">
        <v>0</v>
      </c>
      <c r="AP19" s="1" t="s">
        <v>17</v>
      </c>
      <c r="AQ19" s="1">
        <v>9</v>
      </c>
    </row>
    <row r="20" spans="1:43" x14ac:dyDescent="0.2">
      <c r="A20" s="1" t="s">
        <v>41</v>
      </c>
      <c r="B20" s="1" t="s">
        <v>60</v>
      </c>
      <c r="C20" s="1" t="s">
        <v>92</v>
      </c>
      <c r="D20" s="1" t="s">
        <v>104</v>
      </c>
      <c r="E20" s="3">
        <v>105.65555555555555</v>
      </c>
      <c r="F20" s="3">
        <f t="shared" si="0"/>
        <v>448.30344444444449</v>
      </c>
      <c r="G20" s="3">
        <f>SUM(Table39[[#This Row],[RN Hours Contract (W/ Admin, DON)]], Table39[[#This Row],[LPN Contract Hours (w/ Admin)]], Table39[[#This Row],[CNA/NA/Med Aide Contract Hours]])</f>
        <v>19.522222222222219</v>
      </c>
      <c r="H20" s="4">
        <f>Table39[[#This Row],[Total Contract Hours]]/Table39[[#This Row],[Total Hours Nurse Staffing]]</f>
        <v>4.3546893212955198E-2</v>
      </c>
      <c r="I20" s="3">
        <f>SUM(Table39[[#This Row],[RN Hours]], Table39[[#This Row],[RN Admin Hours]], Table39[[#This Row],[RN DON Hours]])</f>
        <v>145.00566666666668</v>
      </c>
      <c r="J20" s="3">
        <f t="shared" si="1"/>
        <v>1.0472222222222223</v>
      </c>
      <c r="K20" s="4">
        <f>Table39[[#This Row],[RN Hours Contract (W/ Admin, DON)]]/Table39[[#This Row],[RN Hours (w/ Admin, DON)]]</f>
        <v>7.2219399854871564E-3</v>
      </c>
      <c r="L20" s="3">
        <v>105.77688888888889</v>
      </c>
      <c r="M20" s="3">
        <v>1.0472222222222223</v>
      </c>
      <c r="N20" s="4">
        <f>Table39[[#This Row],[RN Hours Contract]]/Table39[[#This Row],[RN Hours]]</f>
        <v>9.9002932797754607E-3</v>
      </c>
      <c r="O20" s="3">
        <v>34.251000000000005</v>
      </c>
      <c r="P20" s="3">
        <v>0</v>
      </c>
      <c r="Q20" s="4">
        <f>Table39[[#This Row],[RN Admin Hours Contract]]/Table39[[#This Row],[RN Admin Hours]]</f>
        <v>0</v>
      </c>
      <c r="R20" s="3">
        <v>4.9777777777777779</v>
      </c>
      <c r="S20" s="3">
        <v>0</v>
      </c>
      <c r="T20" s="4">
        <f>Table39[[#This Row],[RN DON Hours Contract]]/Table39[[#This Row],[RN DON Hours]]</f>
        <v>0</v>
      </c>
      <c r="U20" s="3">
        <f>SUM(Table39[[#This Row],[LPN Hours]], Table39[[#This Row],[LPN Admin Hours]])</f>
        <v>21.099222222222224</v>
      </c>
      <c r="V20" s="3">
        <f>Table39[[#This Row],[LPN Hours Contract]]+Table39[[#This Row],[LPN Admin Hours Contract]]</f>
        <v>0</v>
      </c>
      <c r="W20" s="4">
        <f t="shared" si="2"/>
        <v>0</v>
      </c>
      <c r="X20" s="3">
        <v>21.099222222222224</v>
      </c>
      <c r="Y20" s="3">
        <v>0</v>
      </c>
      <c r="Z20" s="4">
        <f>Table39[[#This Row],[LPN Hours Contract]]/Table39[[#This Row],[LPN Hours]]</f>
        <v>0</v>
      </c>
      <c r="AA20" s="3">
        <v>0</v>
      </c>
      <c r="AB20" s="3">
        <v>0</v>
      </c>
      <c r="AC20" s="4">
        <v>0</v>
      </c>
      <c r="AD20" s="3">
        <f>SUM(Table39[[#This Row],[CNA Hours]], Table39[[#This Row],[NA in Training Hours]], Table39[[#This Row],[Med Aide/Tech Hours]])</f>
        <v>282.19855555555557</v>
      </c>
      <c r="AE20" s="3">
        <f>SUM(Table39[[#This Row],[CNA Hours Contract]], Table39[[#This Row],[NA in Training Hours Contract]], Table39[[#This Row],[Med Aide/Tech Hours Contract]])</f>
        <v>18.474999999999998</v>
      </c>
      <c r="AF20" s="4">
        <f>Table39[[#This Row],[CNA/NA/Med Aide Contract Hours]]/Table39[[#This Row],[Total CNA, NA in Training, Med Aide/Tech Hours]]</f>
        <v>6.5468088465686289E-2</v>
      </c>
      <c r="AG20" s="3">
        <v>238.62366666666668</v>
      </c>
      <c r="AH20" s="3">
        <v>17.474999999999998</v>
      </c>
      <c r="AI20" s="4">
        <f>Table39[[#This Row],[CNA Hours Contract]]/Table39[[#This Row],[CNA Hours]]</f>
        <v>7.3232467860829667E-2</v>
      </c>
      <c r="AJ20" s="3">
        <v>43.5748888888889</v>
      </c>
      <c r="AK20" s="3">
        <v>1</v>
      </c>
      <c r="AL20" s="4">
        <f>Table39[[#This Row],[NA in Training Hours Contract]]/Table39[[#This Row],[NA in Training Hours]]</f>
        <v>2.2948997128825463E-2</v>
      </c>
      <c r="AM20" s="3">
        <v>0</v>
      </c>
      <c r="AN20" s="3">
        <v>0</v>
      </c>
      <c r="AO20" s="4">
        <v>0</v>
      </c>
      <c r="AP20" s="1" t="s">
        <v>18</v>
      </c>
      <c r="AQ20" s="1">
        <v>9</v>
      </c>
    </row>
    <row r="21" spans="1:43" x14ac:dyDescent="0.2">
      <c r="A21" s="1" t="s">
        <v>41</v>
      </c>
      <c r="B21" s="1" t="s">
        <v>61</v>
      </c>
      <c r="C21" s="1" t="s">
        <v>83</v>
      </c>
      <c r="D21" s="1" t="s">
        <v>101</v>
      </c>
      <c r="E21" s="3">
        <v>200.3111111111111</v>
      </c>
      <c r="F21" s="3">
        <f t="shared" si="0"/>
        <v>686.09644444444439</v>
      </c>
      <c r="G21" s="3">
        <f>SUM(Table39[[#This Row],[RN Hours Contract (W/ Admin, DON)]], Table39[[#This Row],[LPN Contract Hours (w/ Admin)]], Table39[[#This Row],[CNA/NA/Med Aide Contract Hours]])</f>
        <v>0</v>
      </c>
      <c r="H21" s="4">
        <f>Table39[[#This Row],[Total Contract Hours]]/Table39[[#This Row],[Total Hours Nurse Staffing]]</f>
        <v>0</v>
      </c>
      <c r="I21" s="3">
        <f>SUM(Table39[[#This Row],[RN Hours]], Table39[[#This Row],[RN Admin Hours]], Table39[[#This Row],[RN DON Hours]])</f>
        <v>202.26677777777778</v>
      </c>
      <c r="J21" s="3">
        <f t="shared" si="1"/>
        <v>0</v>
      </c>
      <c r="K21" s="4">
        <f>Table39[[#This Row],[RN Hours Contract (W/ Admin, DON)]]/Table39[[#This Row],[RN Hours (w/ Admin, DON)]]</f>
        <v>0</v>
      </c>
      <c r="L21" s="3">
        <v>167.11922222222222</v>
      </c>
      <c r="M21" s="3">
        <v>0</v>
      </c>
      <c r="N21" s="4">
        <f>Table39[[#This Row],[RN Hours Contract]]/Table39[[#This Row],[RN Hours]]</f>
        <v>0</v>
      </c>
      <c r="O21" s="3">
        <v>29.547555555555558</v>
      </c>
      <c r="P21" s="3">
        <v>0</v>
      </c>
      <c r="Q21" s="4">
        <f>Table39[[#This Row],[RN Admin Hours Contract]]/Table39[[#This Row],[RN Admin Hours]]</f>
        <v>0</v>
      </c>
      <c r="R21" s="3">
        <v>5.6</v>
      </c>
      <c r="S21" s="3">
        <v>0</v>
      </c>
      <c r="T21" s="4">
        <f>Table39[[#This Row],[RN DON Hours Contract]]/Table39[[#This Row],[RN DON Hours]]</f>
        <v>0</v>
      </c>
      <c r="U21" s="3">
        <f>SUM(Table39[[#This Row],[LPN Hours]], Table39[[#This Row],[LPN Admin Hours]])</f>
        <v>75.581555555555553</v>
      </c>
      <c r="V21" s="3">
        <f>Table39[[#This Row],[LPN Hours Contract]]+Table39[[#This Row],[LPN Admin Hours Contract]]</f>
        <v>0</v>
      </c>
      <c r="W21" s="4">
        <f t="shared" si="2"/>
        <v>0</v>
      </c>
      <c r="X21" s="3">
        <v>75.581555555555553</v>
      </c>
      <c r="Y21" s="3">
        <v>0</v>
      </c>
      <c r="Z21" s="4">
        <f>Table39[[#This Row],[LPN Hours Contract]]/Table39[[#This Row],[LPN Hours]]</f>
        <v>0</v>
      </c>
      <c r="AA21" s="3">
        <v>0</v>
      </c>
      <c r="AB21" s="3">
        <v>0</v>
      </c>
      <c r="AC21" s="4">
        <v>0</v>
      </c>
      <c r="AD21" s="3">
        <f>SUM(Table39[[#This Row],[CNA Hours]], Table39[[#This Row],[NA in Training Hours]], Table39[[#This Row],[Med Aide/Tech Hours]])</f>
        <v>408.24811111111109</v>
      </c>
      <c r="AE21" s="3">
        <f>SUM(Table39[[#This Row],[CNA Hours Contract]], Table39[[#This Row],[NA in Training Hours Contract]], Table39[[#This Row],[Med Aide/Tech Hours Contract]])</f>
        <v>0</v>
      </c>
      <c r="AF21" s="4">
        <f>Table39[[#This Row],[CNA/NA/Med Aide Contract Hours]]/Table39[[#This Row],[Total CNA, NA in Training, Med Aide/Tech Hours]]</f>
        <v>0</v>
      </c>
      <c r="AG21" s="3">
        <v>407.20944444444444</v>
      </c>
      <c r="AH21" s="3">
        <v>0</v>
      </c>
      <c r="AI21" s="4">
        <f>Table39[[#This Row],[CNA Hours Contract]]/Table39[[#This Row],[CNA Hours]]</f>
        <v>0</v>
      </c>
      <c r="AJ21" s="3">
        <v>1.0386666666666666</v>
      </c>
      <c r="AK21" s="3">
        <v>0</v>
      </c>
      <c r="AL21" s="4">
        <f>Table39[[#This Row],[NA in Training Hours Contract]]/Table39[[#This Row],[NA in Training Hours]]</f>
        <v>0</v>
      </c>
      <c r="AM21" s="3">
        <v>0</v>
      </c>
      <c r="AN21" s="3">
        <v>0</v>
      </c>
      <c r="AO21" s="4">
        <v>0</v>
      </c>
      <c r="AP21" s="1" t="s">
        <v>19</v>
      </c>
      <c r="AQ21" s="1">
        <v>9</v>
      </c>
    </row>
    <row r="22" spans="1:43" x14ac:dyDescent="0.2">
      <c r="A22" s="1" t="s">
        <v>41</v>
      </c>
      <c r="B22" s="1" t="s">
        <v>62</v>
      </c>
      <c r="C22" s="1" t="s">
        <v>87</v>
      </c>
      <c r="D22" s="1" t="s">
        <v>104</v>
      </c>
      <c r="E22" s="3">
        <v>69.900000000000006</v>
      </c>
      <c r="F22" s="3">
        <f t="shared" si="0"/>
        <v>260.1611111111111</v>
      </c>
      <c r="G22" s="3">
        <f>SUM(Table39[[#This Row],[RN Hours Contract (W/ Admin, DON)]], Table39[[#This Row],[LPN Contract Hours (w/ Admin)]], Table39[[#This Row],[CNA/NA/Med Aide Contract Hours]])</f>
        <v>0</v>
      </c>
      <c r="H22" s="4">
        <f>Table39[[#This Row],[Total Contract Hours]]/Table39[[#This Row],[Total Hours Nurse Staffing]]</f>
        <v>0</v>
      </c>
      <c r="I22" s="3">
        <f>SUM(Table39[[#This Row],[RN Hours]], Table39[[#This Row],[RN Admin Hours]], Table39[[#This Row],[RN DON Hours]])</f>
        <v>80.980555555555554</v>
      </c>
      <c r="J22" s="3">
        <f t="shared" si="1"/>
        <v>0</v>
      </c>
      <c r="K22" s="4">
        <f>Table39[[#This Row],[RN Hours Contract (W/ Admin, DON)]]/Table39[[#This Row],[RN Hours (w/ Admin, DON)]]</f>
        <v>0</v>
      </c>
      <c r="L22" s="3">
        <v>74.669444444444451</v>
      </c>
      <c r="M22" s="3">
        <v>0</v>
      </c>
      <c r="N22" s="4">
        <f>Table39[[#This Row],[RN Hours Contract]]/Table39[[#This Row],[RN Hours]]</f>
        <v>0</v>
      </c>
      <c r="O22" s="3">
        <v>4.5333333333333332</v>
      </c>
      <c r="P22" s="3">
        <v>0</v>
      </c>
      <c r="Q22" s="4">
        <f>Table39[[#This Row],[RN Admin Hours Contract]]/Table39[[#This Row],[RN Admin Hours]]</f>
        <v>0</v>
      </c>
      <c r="R22" s="3">
        <v>1.7777777777777777</v>
      </c>
      <c r="S22" s="3">
        <v>0</v>
      </c>
      <c r="T22" s="4">
        <f>Table39[[#This Row],[RN DON Hours Contract]]/Table39[[#This Row],[RN DON Hours]]</f>
        <v>0</v>
      </c>
      <c r="U22" s="3">
        <f>SUM(Table39[[#This Row],[LPN Hours]], Table39[[#This Row],[LPN Admin Hours]])</f>
        <v>17.2</v>
      </c>
      <c r="V22" s="3">
        <f>Table39[[#This Row],[LPN Hours Contract]]+Table39[[#This Row],[LPN Admin Hours Contract]]</f>
        <v>0</v>
      </c>
      <c r="W22" s="4">
        <f t="shared" si="2"/>
        <v>0</v>
      </c>
      <c r="X22" s="3">
        <v>17.2</v>
      </c>
      <c r="Y22" s="3">
        <v>0</v>
      </c>
      <c r="Z22" s="4">
        <f>Table39[[#This Row],[LPN Hours Contract]]/Table39[[#This Row],[LPN Hours]]</f>
        <v>0</v>
      </c>
      <c r="AA22" s="3">
        <v>0</v>
      </c>
      <c r="AB22" s="3">
        <v>0</v>
      </c>
      <c r="AC22" s="4">
        <v>0</v>
      </c>
      <c r="AD22" s="3">
        <f>SUM(Table39[[#This Row],[CNA Hours]], Table39[[#This Row],[NA in Training Hours]], Table39[[#This Row],[Med Aide/Tech Hours]])</f>
        <v>161.98055555555555</v>
      </c>
      <c r="AE22" s="3">
        <f>SUM(Table39[[#This Row],[CNA Hours Contract]], Table39[[#This Row],[NA in Training Hours Contract]], Table39[[#This Row],[Med Aide/Tech Hours Contract]])</f>
        <v>0</v>
      </c>
      <c r="AF22" s="4">
        <f>Table39[[#This Row],[CNA/NA/Med Aide Contract Hours]]/Table39[[#This Row],[Total CNA, NA in Training, Med Aide/Tech Hours]]</f>
        <v>0</v>
      </c>
      <c r="AG22" s="3">
        <v>147.60833333333332</v>
      </c>
      <c r="AH22" s="3">
        <v>0</v>
      </c>
      <c r="AI22" s="4">
        <f>Table39[[#This Row],[CNA Hours Contract]]/Table39[[#This Row],[CNA Hours]]</f>
        <v>0</v>
      </c>
      <c r="AJ22" s="3">
        <v>14.372222222222222</v>
      </c>
      <c r="AK22" s="3">
        <v>0</v>
      </c>
      <c r="AL22" s="4">
        <f>Table39[[#This Row],[NA in Training Hours Contract]]/Table39[[#This Row],[NA in Training Hours]]</f>
        <v>0</v>
      </c>
      <c r="AM22" s="3">
        <v>0</v>
      </c>
      <c r="AN22" s="3">
        <v>0</v>
      </c>
      <c r="AO22" s="4">
        <v>0</v>
      </c>
      <c r="AP22" s="1" t="s">
        <v>20</v>
      </c>
      <c r="AQ22" s="1">
        <v>9</v>
      </c>
    </row>
    <row r="23" spans="1:43" x14ac:dyDescent="0.2">
      <c r="A23" s="1" t="s">
        <v>41</v>
      </c>
      <c r="B23" s="1" t="s">
        <v>63</v>
      </c>
      <c r="C23" s="1" t="s">
        <v>87</v>
      </c>
      <c r="D23" s="1" t="s">
        <v>104</v>
      </c>
      <c r="E23" s="3">
        <v>68.911111111111111</v>
      </c>
      <c r="F23" s="3">
        <f t="shared" si="0"/>
        <v>294.88122222222222</v>
      </c>
      <c r="G23" s="3">
        <f>SUM(Table39[[#This Row],[RN Hours Contract (W/ Admin, DON)]], Table39[[#This Row],[LPN Contract Hours (w/ Admin)]], Table39[[#This Row],[CNA/NA/Med Aide Contract Hours]])</f>
        <v>33.375</v>
      </c>
      <c r="H23" s="4">
        <f>Table39[[#This Row],[Total Contract Hours]]/Table39[[#This Row],[Total Hours Nurse Staffing]]</f>
        <v>0.11318116409205815</v>
      </c>
      <c r="I23" s="3">
        <f>SUM(Table39[[#This Row],[RN Hours]], Table39[[#This Row],[RN Admin Hours]], Table39[[#This Row],[RN DON Hours]])</f>
        <v>102.45255555555555</v>
      </c>
      <c r="J23" s="3">
        <f t="shared" si="1"/>
        <v>6.5222222222222221</v>
      </c>
      <c r="K23" s="4">
        <f>Table39[[#This Row],[RN Hours Contract (W/ Admin, DON)]]/Table39[[#This Row],[RN Hours (w/ Admin, DON)]]</f>
        <v>6.3660903203976257E-2</v>
      </c>
      <c r="L23" s="3">
        <v>84.796999999999997</v>
      </c>
      <c r="M23" s="3">
        <v>4.5333333333333332</v>
      </c>
      <c r="N23" s="4">
        <f>Table39[[#This Row],[RN Hours Contract]]/Table39[[#This Row],[RN Hours]]</f>
        <v>5.3461010806199909E-2</v>
      </c>
      <c r="O23" s="3">
        <v>12.322222222222223</v>
      </c>
      <c r="P23" s="3">
        <v>1.9888888888888889</v>
      </c>
      <c r="Q23" s="4">
        <f>Table39[[#This Row],[RN Admin Hours Contract]]/Table39[[#This Row],[RN Admin Hours]]</f>
        <v>0.16140667267808836</v>
      </c>
      <c r="R23" s="3">
        <v>5.333333333333333</v>
      </c>
      <c r="S23" s="3">
        <v>0</v>
      </c>
      <c r="T23" s="4">
        <f>Table39[[#This Row],[RN DON Hours Contract]]/Table39[[#This Row],[RN DON Hours]]</f>
        <v>0</v>
      </c>
      <c r="U23" s="3">
        <f>SUM(Table39[[#This Row],[LPN Hours]], Table39[[#This Row],[LPN Admin Hours]])</f>
        <v>7.6444444444444448</v>
      </c>
      <c r="V23" s="3">
        <f>Table39[[#This Row],[LPN Hours Contract]]+Table39[[#This Row],[LPN Admin Hours Contract]]</f>
        <v>0.13333333333333333</v>
      </c>
      <c r="W23" s="4">
        <f t="shared" si="2"/>
        <v>1.7441860465116279E-2</v>
      </c>
      <c r="X23" s="3">
        <v>7.6444444444444448</v>
      </c>
      <c r="Y23" s="3">
        <v>0.13333333333333333</v>
      </c>
      <c r="Z23" s="4">
        <f>Table39[[#This Row],[LPN Hours Contract]]/Table39[[#This Row],[LPN Hours]]</f>
        <v>1.7441860465116279E-2</v>
      </c>
      <c r="AA23" s="3">
        <v>0</v>
      </c>
      <c r="AB23" s="3">
        <v>0</v>
      </c>
      <c r="AC23" s="4">
        <v>0</v>
      </c>
      <c r="AD23" s="3">
        <f>SUM(Table39[[#This Row],[CNA Hours]], Table39[[#This Row],[NA in Training Hours]], Table39[[#This Row],[Med Aide/Tech Hours]])</f>
        <v>184.78422222222224</v>
      </c>
      <c r="AE23" s="3">
        <f>SUM(Table39[[#This Row],[CNA Hours Contract]], Table39[[#This Row],[NA in Training Hours Contract]], Table39[[#This Row],[Med Aide/Tech Hours Contract]])</f>
        <v>26.719444444444445</v>
      </c>
      <c r="AF23" s="4">
        <f>Table39[[#This Row],[CNA/NA/Med Aide Contract Hours]]/Table39[[#This Row],[Total CNA, NA in Training, Med Aide/Tech Hours]]</f>
        <v>0.14459808377098091</v>
      </c>
      <c r="AG23" s="3">
        <v>184.78422222222224</v>
      </c>
      <c r="AH23" s="3">
        <v>26.719444444444445</v>
      </c>
      <c r="AI23" s="4">
        <f>Table39[[#This Row],[CNA Hours Contract]]/Table39[[#This Row],[CNA Hours]]</f>
        <v>0.14459808377098091</v>
      </c>
      <c r="AJ23" s="3">
        <v>0</v>
      </c>
      <c r="AK23" s="3">
        <v>0</v>
      </c>
      <c r="AL23" s="4">
        <v>0</v>
      </c>
      <c r="AM23" s="3">
        <v>0</v>
      </c>
      <c r="AN23" s="3">
        <v>0</v>
      </c>
      <c r="AO23" s="4">
        <v>0</v>
      </c>
      <c r="AP23" s="1" t="s">
        <v>21</v>
      </c>
      <c r="AQ23" s="1">
        <v>9</v>
      </c>
    </row>
    <row r="24" spans="1:43" x14ac:dyDescent="0.2">
      <c r="A24" s="1" t="s">
        <v>41</v>
      </c>
      <c r="B24" s="1" t="s">
        <v>64</v>
      </c>
      <c r="C24" s="1" t="s">
        <v>93</v>
      </c>
      <c r="D24" s="1" t="s">
        <v>104</v>
      </c>
      <c r="E24" s="3">
        <v>75.888888888888886</v>
      </c>
      <c r="F24" s="3">
        <f t="shared" si="0"/>
        <v>449.58055555555558</v>
      </c>
      <c r="G24" s="3">
        <f>SUM(Table39[[#This Row],[RN Hours Contract (W/ Admin, DON)]], Table39[[#This Row],[LPN Contract Hours (w/ Admin)]], Table39[[#This Row],[CNA/NA/Med Aide Contract Hours]])</f>
        <v>42.655555555555551</v>
      </c>
      <c r="H24" s="4">
        <f>Table39[[#This Row],[Total Contract Hours]]/Table39[[#This Row],[Total Hours Nurse Staffing]]</f>
        <v>9.4878559645101279E-2</v>
      </c>
      <c r="I24" s="3">
        <f>SUM(Table39[[#This Row],[RN Hours]], Table39[[#This Row],[RN Admin Hours]], Table39[[#This Row],[RN DON Hours]])</f>
        <v>159.01944444444445</v>
      </c>
      <c r="J24" s="3">
        <f t="shared" si="1"/>
        <v>7.8194444444444446</v>
      </c>
      <c r="K24" s="4">
        <f>Table39[[#This Row],[RN Hours Contract (W/ Admin, DON)]]/Table39[[#This Row],[RN Hours (w/ Admin, DON)]]</f>
        <v>4.9172882421786294E-2</v>
      </c>
      <c r="L24" s="3">
        <v>139.80833333333334</v>
      </c>
      <c r="M24" s="3">
        <v>4.697222222222222</v>
      </c>
      <c r="N24" s="4">
        <f>Table39[[#This Row],[RN Hours Contract]]/Table39[[#This Row],[RN Hours]]</f>
        <v>3.3597583993959984E-2</v>
      </c>
      <c r="O24" s="3">
        <v>13.966666666666667</v>
      </c>
      <c r="P24" s="3">
        <v>3.1222222222222222</v>
      </c>
      <c r="Q24" s="4">
        <f>Table39[[#This Row],[RN Admin Hours Contract]]/Table39[[#This Row],[RN Admin Hours]]</f>
        <v>0.22354813046937153</v>
      </c>
      <c r="R24" s="3">
        <v>5.2444444444444445</v>
      </c>
      <c r="S24" s="3">
        <v>0</v>
      </c>
      <c r="T24" s="4">
        <f>Table39[[#This Row],[RN DON Hours Contract]]/Table39[[#This Row],[RN DON Hours]]</f>
        <v>0</v>
      </c>
      <c r="U24" s="3">
        <f>SUM(Table39[[#This Row],[LPN Hours]], Table39[[#This Row],[LPN Admin Hours]])</f>
        <v>32.233333333333334</v>
      </c>
      <c r="V24" s="3">
        <f>Table39[[#This Row],[LPN Hours Contract]]+Table39[[#This Row],[LPN Admin Hours Contract]]</f>
        <v>9.9805555555555561</v>
      </c>
      <c r="W24" s="4">
        <f t="shared" si="2"/>
        <v>0.3096346087556015</v>
      </c>
      <c r="X24" s="3">
        <v>32.233333333333334</v>
      </c>
      <c r="Y24" s="3">
        <v>9.9805555555555561</v>
      </c>
      <c r="Z24" s="4">
        <f>Table39[[#This Row],[LPN Hours Contract]]/Table39[[#This Row],[LPN Hours]]</f>
        <v>0.3096346087556015</v>
      </c>
      <c r="AA24" s="3">
        <v>0</v>
      </c>
      <c r="AB24" s="3">
        <v>0</v>
      </c>
      <c r="AC24" s="4">
        <v>0</v>
      </c>
      <c r="AD24" s="3">
        <f>SUM(Table39[[#This Row],[CNA Hours]], Table39[[#This Row],[NA in Training Hours]], Table39[[#This Row],[Med Aide/Tech Hours]])</f>
        <v>258.32777777777778</v>
      </c>
      <c r="AE24" s="3">
        <f>SUM(Table39[[#This Row],[CNA Hours Contract]], Table39[[#This Row],[NA in Training Hours Contract]], Table39[[#This Row],[Med Aide/Tech Hours Contract]])</f>
        <v>24.855555555555554</v>
      </c>
      <c r="AF24" s="4">
        <f>Table39[[#This Row],[CNA/NA/Med Aide Contract Hours]]/Table39[[#This Row],[Total CNA, NA in Training, Med Aide/Tech Hours]]</f>
        <v>9.6217122948880615E-2</v>
      </c>
      <c r="AG24" s="3">
        <v>258.32777777777778</v>
      </c>
      <c r="AH24" s="3">
        <v>24.855555555555554</v>
      </c>
      <c r="AI24" s="4">
        <f>Table39[[#This Row],[CNA Hours Contract]]/Table39[[#This Row],[CNA Hours]]</f>
        <v>9.6217122948880615E-2</v>
      </c>
      <c r="AJ24" s="3">
        <v>0</v>
      </c>
      <c r="AK24" s="3">
        <v>0</v>
      </c>
      <c r="AL24" s="4">
        <v>0</v>
      </c>
      <c r="AM24" s="3">
        <v>0</v>
      </c>
      <c r="AN24" s="3">
        <v>0</v>
      </c>
      <c r="AO24" s="4">
        <v>0</v>
      </c>
      <c r="AP24" s="1" t="s">
        <v>22</v>
      </c>
      <c r="AQ24" s="1">
        <v>9</v>
      </c>
    </row>
    <row r="25" spans="1:43" x14ac:dyDescent="0.2">
      <c r="A25" s="1" t="s">
        <v>41</v>
      </c>
      <c r="B25" s="1" t="s">
        <v>65</v>
      </c>
      <c r="C25" s="1" t="s">
        <v>83</v>
      </c>
      <c r="D25" s="1" t="s">
        <v>101</v>
      </c>
      <c r="E25" s="3">
        <v>105.04444444444445</v>
      </c>
      <c r="F25" s="3">
        <f t="shared" si="0"/>
        <v>363.33333333333331</v>
      </c>
      <c r="G25" s="3">
        <f>SUM(Table39[[#This Row],[RN Hours Contract (W/ Admin, DON)]], Table39[[#This Row],[LPN Contract Hours (w/ Admin)]], Table39[[#This Row],[CNA/NA/Med Aide Contract Hours]])</f>
        <v>0</v>
      </c>
      <c r="H25" s="4">
        <f>Table39[[#This Row],[Total Contract Hours]]/Table39[[#This Row],[Total Hours Nurse Staffing]]</f>
        <v>0</v>
      </c>
      <c r="I25" s="3">
        <f>SUM(Table39[[#This Row],[RN Hours]], Table39[[#This Row],[RN Admin Hours]], Table39[[#This Row],[RN DON Hours]])</f>
        <v>89.390777777777771</v>
      </c>
      <c r="J25" s="3">
        <f t="shared" si="1"/>
        <v>0</v>
      </c>
      <c r="K25" s="4">
        <f>Table39[[#This Row],[RN Hours Contract (W/ Admin, DON)]]/Table39[[#This Row],[RN Hours (w/ Admin, DON)]]</f>
        <v>0</v>
      </c>
      <c r="L25" s="3">
        <v>65.306444444444438</v>
      </c>
      <c r="M25" s="3">
        <v>0</v>
      </c>
      <c r="N25" s="4">
        <f>Table39[[#This Row],[RN Hours Contract]]/Table39[[#This Row],[RN Hours]]</f>
        <v>0</v>
      </c>
      <c r="O25" s="3">
        <v>18.484333333333332</v>
      </c>
      <c r="P25" s="3">
        <v>0</v>
      </c>
      <c r="Q25" s="4">
        <f>Table39[[#This Row],[RN Admin Hours Contract]]/Table39[[#This Row],[RN Admin Hours]]</f>
        <v>0</v>
      </c>
      <c r="R25" s="3">
        <v>5.6</v>
      </c>
      <c r="S25" s="3">
        <v>0</v>
      </c>
      <c r="T25" s="4">
        <f>Table39[[#This Row],[RN DON Hours Contract]]/Table39[[#This Row],[RN DON Hours]]</f>
        <v>0</v>
      </c>
      <c r="U25" s="3">
        <f>SUM(Table39[[#This Row],[LPN Hours]], Table39[[#This Row],[LPN Admin Hours]])</f>
        <v>61.478555555555552</v>
      </c>
      <c r="V25" s="3">
        <f>Table39[[#This Row],[LPN Hours Contract]]+Table39[[#This Row],[LPN Admin Hours Contract]]</f>
        <v>0</v>
      </c>
      <c r="W25" s="4">
        <f t="shared" si="2"/>
        <v>0</v>
      </c>
      <c r="X25" s="3">
        <v>61.478555555555552</v>
      </c>
      <c r="Y25" s="3">
        <v>0</v>
      </c>
      <c r="Z25" s="4">
        <f>Table39[[#This Row],[LPN Hours Contract]]/Table39[[#This Row],[LPN Hours]]</f>
        <v>0</v>
      </c>
      <c r="AA25" s="3">
        <v>0</v>
      </c>
      <c r="AB25" s="3">
        <v>0</v>
      </c>
      <c r="AC25" s="4">
        <v>0</v>
      </c>
      <c r="AD25" s="3">
        <f>SUM(Table39[[#This Row],[CNA Hours]], Table39[[#This Row],[NA in Training Hours]], Table39[[#This Row],[Med Aide/Tech Hours]])</f>
        <v>212.464</v>
      </c>
      <c r="AE25" s="3">
        <f>SUM(Table39[[#This Row],[CNA Hours Contract]], Table39[[#This Row],[NA in Training Hours Contract]], Table39[[#This Row],[Med Aide/Tech Hours Contract]])</f>
        <v>0</v>
      </c>
      <c r="AF25" s="4">
        <f>Table39[[#This Row],[CNA/NA/Med Aide Contract Hours]]/Table39[[#This Row],[Total CNA, NA in Training, Med Aide/Tech Hours]]</f>
        <v>0</v>
      </c>
      <c r="AG25" s="3">
        <v>191.25700000000001</v>
      </c>
      <c r="AH25" s="3">
        <v>0</v>
      </c>
      <c r="AI25" s="4">
        <f>Table39[[#This Row],[CNA Hours Contract]]/Table39[[#This Row],[CNA Hours]]</f>
        <v>0</v>
      </c>
      <c r="AJ25" s="3">
        <v>21.207000000000004</v>
      </c>
      <c r="AK25" s="3">
        <v>0</v>
      </c>
      <c r="AL25" s="4">
        <f>Table39[[#This Row],[NA in Training Hours Contract]]/Table39[[#This Row],[NA in Training Hours]]</f>
        <v>0</v>
      </c>
      <c r="AM25" s="3">
        <v>0</v>
      </c>
      <c r="AN25" s="3">
        <v>0</v>
      </c>
      <c r="AO25" s="4">
        <v>0</v>
      </c>
      <c r="AP25" s="1" t="s">
        <v>23</v>
      </c>
      <c r="AQ25" s="1">
        <v>9</v>
      </c>
    </row>
    <row r="26" spans="1:43" x14ac:dyDescent="0.2">
      <c r="A26" s="1" t="s">
        <v>41</v>
      </c>
      <c r="B26" s="1" t="s">
        <v>66</v>
      </c>
      <c r="C26" s="1" t="s">
        <v>94</v>
      </c>
      <c r="D26" s="1" t="s">
        <v>104</v>
      </c>
      <c r="E26" s="3">
        <v>69.655555555555551</v>
      </c>
      <c r="F26" s="3">
        <f t="shared" si="0"/>
        <v>293.5333333333333</v>
      </c>
      <c r="G26" s="3">
        <f>SUM(Table39[[#This Row],[RN Hours Contract (W/ Admin, DON)]], Table39[[#This Row],[LPN Contract Hours (w/ Admin)]], Table39[[#This Row],[CNA/NA/Med Aide Contract Hours]])</f>
        <v>0.71111111111111114</v>
      </c>
      <c r="H26" s="4">
        <f>Table39[[#This Row],[Total Contract Hours]]/Table39[[#This Row],[Total Hours Nurse Staffing]]</f>
        <v>2.4225906578847758E-3</v>
      </c>
      <c r="I26" s="3">
        <f>SUM(Table39[[#This Row],[RN Hours]], Table39[[#This Row],[RN Admin Hours]], Table39[[#This Row],[RN DON Hours]])</f>
        <v>78.544444444444437</v>
      </c>
      <c r="J26" s="3">
        <f t="shared" si="1"/>
        <v>0.71111111111111114</v>
      </c>
      <c r="K26" s="4">
        <f>Table39[[#This Row],[RN Hours Contract (W/ Admin, DON)]]/Table39[[#This Row],[RN Hours (w/ Admin, DON)]]</f>
        <v>9.0536143726128171E-3</v>
      </c>
      <c r="L26" s="3">
        <v>55.788888888888891</v>
      </c>
      <c r="M26" s="3">
        <v>0</v>
      </c>
      <c r="N26" s="4">
        <f>Table39[[#This Row],[RN Hours Contract]]/Table39[[#This Row],[RN Hours]]</f>
        <v>0</v>
      </c>
      <c r="O26" s="3">
        <v>17.155555555555555</v>
      </c>
      <c r="P26" s="3">
        <v>0.71111111111111114</v>
      </c>
      <c r="Q26" s="4">
        <f>Table39[[#This Row],[RN Admin Hours Contract]]/Table39[[#This Row],[RN Admin Hours]]</f>
        <v>4.145077720207254E-2</v>
      </c>
      <c r="R26" s="3">
        <v>5.6</v>
      </c>
      <c r="S26" s="3">
        <v>0</v>
      </c>
      <c r="T26" s="4">
        <f>Table39[[#This Row],[RN DON Hours Contract]]/Table39[[#This Row],[RN DON Hours]]</f>
        <v>0</v>
      </c>
      <c r="U26" s="3">
        <f>SUM(Table39[[#This Row],[LPN Hours]], Table39[[#This Row],[LPN Admin Hours]])</f>
        <v>19.652777777777779</v>
      </c>
      <c r="V26" s="3">
        <f>Table39[[#This Row],[LPN Hours Contract]]+Table39[[#This Row],[LPN Admin Hours Contract]]</f>
        <v>0</v>
      </c>
      <c r="W26" s="4">
        <f t="shared" si="2"/>
        <v>0</v>
      </c>
      <c r="X26" s="3">
        <v>14.319444444444445</v>
      </c>
      <c r="Y26" s="3">
        <v>0</v>
      </c>
      <c r="Z26" s="4">
        <f>Table39[[#This Row],[LPN Hours Contract]]/Table39[[#This Row],[LPN Hours]]</f>
        <v>0</v>
      </c>
      <c r="AA26" s="3">
        <v>5.333333333333333</v>
      </c>
      <c r="AB26" s="3">
        <v>0</v>
      </c>
      <c r="AC26" s="4">
        <f>Table39[[#This Row],[LPN Admin Hours Contract]]/Table39[[#This Row],[LPN Admin Hours]]</f>
        <v>0</v>
      </c>
      <c r="AD26" s="3">
        <f>SUM(Table39[[#This Row],[CNA Hours]], Table39[[#This Row],[NA in Training Hours]], Table39[[#This Row],[Med Aide/Tech Hours]])</f>
        <v>195.33611111111111</v>
      </c>
      <c r="AE26" s="3">
        <f>SUM(Table39[[#This Row],[CNA Hours Contract]], Table39[[#This Row],[NA in Training Hours Contract]], Table39[[#This Row],[Med Aide/Tech Hours Contract]])</f>
        <v>0</v>
      </c>
      <c r="AF26" s="4">
        <f>Table39[[#This Row],[CNA/NA/Med Aide Contract Hours]]/Table39[[#This Row],[Total CNA, NA in Training, Med Aide/Tech Hours]]</f>
        <v>0</v>
      </c>
      <c r="AG26" s="3">
        <v>188.60555555555555</v>
      </c>
      <c r="AH26" s="3">
        <v>0</v>
      </c>
      <c r="AI26" s="4">
        <f>Table39[[#This Row],[CNA Hours Contract]]/Table39[[#This Row],[CNA Hours]]</f>
        <v>0</v>
      </c>
      <c r="AJ26" s="3">
        <v>6.7305555555555552</v>
      </c>
      <c r="AK26" s="3">
        <v>0</v>
      </c>
      <c r="AL26" s="4">
        <f>Table39[[#This Row],[NA in Training Hours Contract]]/Table39[[#This Row],[NA in Training Hours]]</f>
        <v>0</v>
      </c>
      <c r="AM26" s="3">
        <v>0</v>
      </c>
      <c r="AN26" s="3">
        <v>0</v>
      </c>
      <c r="AO26" s="4">
        <v>0</v>
      </c>
      <c r="AP26" s="1" t="s">
        <v>24</v>
      </c>
      <c r="AQ26" s="1">
        <v>9</v>
      </c>
    </row>
    <row r="27" spans="1:43" x14ac:dyDescent="0.2">
      <c r="A27" s="1" t="s">
        <v>41</v>
      </c>
      <c r="B27" s="1" t="s">
        <v>67</v>
      </c>
      <c r="C27" s="1" t="s">
        <v>87</v>
      </c>
      <c r="D27" s="1" t="s">
        <v>104</v>
      </c>
      <c r="E27" s="3">
        <v>26.866666666666667</v>
      </c>
      <c r="F27" s="3">
        <f t="shared" si="0"/>
        <v>160.87522222222222</v>
      </c>
      <c r="G27" s="3">
        <f>SUM(Table39[[#This Row],[RN Hours Contract (W/ Admin, DON)]], Table39[[#This Row],[LPN Contract Hours (w/ Admin)]], Table39[[#This Row],[CNA/NA/Med Aide Contract Hours]])</f>
        <v>0</v>
      </c>
      <c r="H27" s="4">
        <f>Table39[[#This Row],[Total Contract Hours]]/Table39[[#This Row],[Total Hours Nurse Staffing]]</f>
        <v>0</v>
      </c>
      <c r="I27" s="3">
        <f>SUM(Table39[[#This Row],[RN Hours]], Table39[[#This Row],[RN Admin Hours]], Table39[[#This Row],[RN DON Hours]])</f>
        <v>52.152999999999999</v>
      </c>
      <c r="J27" s="3">
        <f t="shared" si="1"/>
        <v>0</v>
      </c>
      <c r="K27" s="4">
        <f>Table39[[#This Row],[RN Hours Contract (W/ Admin, DON)]]/Table39[[#This Row],[RN Hours (w/ Admin, DON)]]</f>
        <v>0</v>
      </c>
      <c r="L27" s="3">
        <v>30.775222222222222</v>
      </c>
      <c r="M27" s="3">
        <v>0</v>
      </c>
      <c r="N27" s="4">
        <f>Table39[[#This Row],[RN Hours Contract]]/Table39[[#This Row],[RN Hours]]</f>
        <v>0</v>
      </c>
      <c r="O27" s="3">
        <v>16.133333333333333</v>
      </c>
      <c r="P27" s="3">
        <v>0</v>
      </c>
      <c r="Q27" s="4">
        <f>Table39[[#This Row],[RN Admin Hours Contract]]/Table39[[#This Row],[RN Admin Hours]]</f>
        <v>0</v>
      </c>
      <c r="R27" s="3">
        <v>5.2444444444444445</v>
      </c>
      <c r="S27" s="3">
        <v>0</v>
      </c>
      <c r="T27" s="4">
        <f>Table39[[#This Row],[RN DON Hours Contract]]/Table39[[#This Row],[RN DON Hours]]</f>
        <v>0</v>
      </c>
      <c r="U27" s="3">
        <f>SUM(Table39[[#This Row],[LPN Hours]], Table39[[#This Row],[LPN Admin Hours]])</f>
        <v>6.9361111111111109</v>
      </c>
      <c r="V27" s="3">
        <f>Table39[[#This Row],[LPN Hours Contract]]+Table39[[#This Row],[LPN Admin Hours Contract]]</f>
        <v>0</v>
      </c>
      <c r="W27" s="4">
        <f t="shared" si="2"/>
        <v>0</v>
      </c>
      <c r="X27" s="3">
        <v>6.9361111111111109</v>
      </c>
      <c r="Y27" s="3">
        <v>0</v>
      </c>
      <c r="Z27" s="4">
        <f>Table39[[#This Row],[LPN Hours Contract]]/Table39[[#This Row],[LPN Hours]]</f>
        <v>0</v>
      </c>
      <c r="AA27" s="3">
        <v>0</v>
      </c>
      <c r="AB27" s="3">
        <v>0</v>
      </c>
      <c r="AC27" s="4">
        <v>0</v>
      </c>
      <c r="AD27" s="3">
        <f>SUM(Table39[[#This Row],[CNA Hours]], Table39[[#This Row],[NA in Training Hours]], Table39[[#This Row],[Med Aide/Tech Hours]])</f>
        <v>101.78611111111111</v>
      </c>
      <c r="AE27" s="3">
        <f>SUM(Table39[[#This Row],[CNA Hours Contract]], Table39[[#This Row],[NA in Training Hours Contract]], Table39[[#This Row],[Med Aide/Tech Hours Contract]])</f>
        <v>0</v>
      </c>
      <c r="AF27" s="4">
        <f>Table39[[#This Row],[CNA/NA/Med Aide Contract Hours]]/Table39[[#This Row],[Total CNA, NA in Training, Med Aide/Tech Hours]]</f>
        <v>0</v>
      </c>
      <c r="AG27" s="3">
        <v>101.78611111111111</v>
      </c>
      <c r="AH27" s="3">
        <v>0</v>
      </c>
      <c r="AI27" s="4">
        <f>Table39[[#This Row],[CNA Hours Contract]]/Table39[[#This Row],[CNA Hours]]</f>
        <v>0</v>
      </c>
      <c r="AJ27" s="3">
        <v>0</v>
      </c>
      <c r="AK27" s="3">
        <v>0</v>
      </c>
      <c r="AL27" s="4">
        <v>0</v>
      </c>
      <c r="AM27" s="3">
        <v>0</v>
      </c>
      <c r="AN27" s="3">
        <v>0</v>
      </c>
      <c r="AO27" s="4">
        <v>0</v>
      </c>
      <c r="AP27" s="1" t="s">
        <v>25</v>
      </c>
      <c r="AQ27" s="1">
        <v>9</v>
      </c>
    </row>
    <row r="28" spans="1:43" x14ac:dyDescent="0.2">
      <c r="A28" s="1" t="s">
        <v>41</v>
      </c>
      <c r="B28" s="1" t="s">
        <v>68</v>
      </c>
      <c r="C28" s="1" t="s">
        <v>92</v>
      </c>
      <c r="D28" s="1" t="s">
        <v>104</v>
      </c>
      <c r="E28" s="3">
        <v>62.2</v>
      </c>
      <c r="F28" s="3">
        <f t="shared" si="0"/>
        <v>249.34222222222218</v>
      </c>
      <c r="G28" s="3">
        <f>SUM(Table39[[#This Row],[RN Hours Contract (W/ Admin, DON)]], Table39[[#This Row],[LPN Contract Hours (w/ Admin)]], Table39[[#This Row],[CNA/NA/Med Aide Contract Hours]])</f>
        <v>10.011111111111111</v>
      </c>
      <c r="H28" s="4">
        <f>Table39[[#This Row],[Total Contract Hours]]/Table39[[#This Row],[Total Hours Nurse Staffing]]</f>
        <v>4.0150083775979471E-2</v>
      </c>
      <c r="I28" s="3">
        <f>SUM(Table39[[#This Row],[RN Hours]], Table39[[#This Row],[RN Admin Hours]], Table39[[#This Row],[RN DON Hours]])</f>
        <v>98.12222222222222</v>
      </c>
      <c r="J28" s="3">
        <f t="shared" si="1"/>
        <v>3.2416666666666663</v>
      </c>
      <c r="K28" s="4">
        <f>Table39[[#This Row],[RN Hours Contract (W/ Admin, DON)]]/Table39[[#This Row],[RN Hours (w/ Admin, DON)]]</f>
        <v>3.3037028649077115E-2</v>
      </c>
      <c r="L28" s="3">
        <v>73</v>
      </c>
      <c r="M28" s="3">
        <v>0.44166666666666665</v>
      </c>
      <c r="N28" s="4">
        <f>Table39[[#This Row],[RN Hours Contract]]/Table39[[#This Row],[RN Hours]]</f>
        <v>6.0502283105022831E-3</v>
      </c>
      <c r="O28" s="3">
        <v>19.522222222222222</v>
      </c>
      <c r="P28" s="3">
        <v>2.8</v>
      </c>
      <c r="Q28" s="4">
        <f>Table39[[#This Row],[RN Admin Hours Contract]]/Table39[[#This Row],[RN Admin Hours]]</f>
        <v>0.14342629482071712</v>
      </c>
      <c r="R28" s="3">
        <v>5.6</v>
      </c>
      <c r="S28" s="3">
        <v>0</v>
      </c>
      <c r="T28" s="4">
        <f>Table39[[#This Row],[RN DON Hours Contract]]/Table39[[#This Row],[RN DON Hours]]</f>
        <v>0</v>
      </c>
      <c r="U28" s="3">
        <f>SUM(Table39[[#This Row],[LPN Hours]], Table39[[#This Row],[LPN Admin Hours]])</f>
        <v>0</v>
      </c>
      <c r="V28" s="3">
        <f>Table39[[#This Row],[LPN Hours Contract]]+Table39[[#This Row],[LPN Admin Hours Contract]]</f>
        <v>0</v>
      </c>
      <c r="W28" s="4">
        <v>0</v>
      </c>
      <c r="X28" s="3">
        <v>0</v>
      </c>
      <c r="Y28" s="3">
        <v>0</v>
      </c>
      <c r="Z28" s="4">
        <v>0</v>
      </c>
      <c r="AA28" s="3">
        <v>0</v>
      </c>
      <c r="AB28" s="3">
        <v>0</v>
      </c>
      <c r="AC28" s="4">
        <v>0</v>
      </c>
      <c r="AD28" s="3">
        <f>SUM(Table39[[#This Row],[CNA Hours]], Table39[[#This Row],[NA in Training Hours]], Table39[[#This Row],[Med Aide/Tech Hours]])</f>
        <v>151.21999999999997</v>
      </c>
      <c r="AE28" s="3">
        <f>SUM(Table39[[#This Row],[CNA Hours Contract]], Table39[[#This Row],[NA in Training Hours Contract]], Table39[[#This Row],[Med Aide/Tech Hours Contract]])</f>
        <v>6.7694444444444448</v>
      </c>
      <c r="AF28" s="4">
        <f>Table39[[#This Row],[CNA/NA/Med Aide Contract Hours]]/Table39[[#This Row],[Total CNA, NA in Training, Med Aide/Tech Hours]]</f>
        <v>4.4765536598627469E-2</v>
      </c>
      <c r="AG28" s="3">
        <v>142.2172222222222</v>
      </c>
      <c r="AH28" s="3">
        <v>6.7694444444444448</v>
      </c>
      <c r="AI28" s="4">
        <f>Table39[[#This Row],[CNA Hours Contract]]/Table39[[#This Row],[CNA Hours]]</f>
        <v>4.7599329663933508E-2</v>
      </c>
      <c r="AJ28" s="3">
        <v>9.0027777777777782</v>
      </c>
      <c r="AK28" s="3">
        <v>0</v>
      </c>
      <c r="AL28" s="4">
        <f>Table39[[#This Row],[NA in Training Hours Contract]]/Table39[[#This Row],[NA in Training Hours]]</f>
        <v>0</v>
      </c>
      <c r="AM28" s="3">
        <v>0</v>
      </c>
      <c r="AN28" s="3">
        <v>0</v>
      </c>
      <c r="AO28" s="4">
        <v>0</v>
      </c>
      <c r="AP28" s="1" t="s">
        <v>26</v>
      </c>
      <c r="AQ28" s="1">
        <v>9</v>
      </c>
    </row>
    <row r="29" spans="1:43" x14ac:dyDescent="0.2">
      <c r="A29" s="1" t="s">
        <v>41</v>
      </c>
      <c r="B29" s="1" t="s">
        <v>69</v>
      </c>
      <c r="C29" s="1" t="s">
        <v>87</v>
      </c>
      <c r="D29" s="1" t="s">
        <v>104</v>
      </c>
      <c r="E29" s="3">
        <v>32.200000000000003</v>
      </c>
      <c r="F29" s="3">
        <f t="shared" si="0"/>
        <v>106.42322222222222</v>
      </c>
      <c r="G29" s="3">
        <f>SUM(Table39[[#This Row],[RN Hours Contract (W/ Admin, DON)]], Table39[[#This Row],[LPN Contract Hours (w/ Admin)]], Table39[[#This Row],[CNA/NA/Med Aide Contract Hours]])</f>
        <v>5.8343333333333334</v>
      </c>
      <c r="H29" s="4">
        <f>Table39[[#This Row],[Total Contract Hours]]/Table39[[#This Row],[Total Hours Nurse Staffing]]</f>
        <v>5.482199478184064E-2</v>
      </c>
      <c r="I29" s="3">
        <f>SUM(Table39[[#This Row],[RN Hours]], Table39[[#This Row],[RN Admin Hours]], Table39[[#This Row],[RN DON Hours]])</f>
        <v>27.444444444444446</v>
      </c>
      <c r="J29" s="3">
        <f t="shared" si="1"/>
        <v>0</v>
      </c>
      <c r="K29" s="4">
        <f>Table39[[#This Row],[RN Hours Contract (W/ Admin, DON)]]/Table39[[#This Row],[RN Hours (w/ Admin, DON)]]</f>
        <v>0</v>
      </c>
      <c r="L29" s="3">
        <v>14.236111111111111</v>
      </c>
      <c r="M29" s="3">
        <v>0</v>
      </c>
      <c r="N29" s="4">
        <f>Table39[[#This Row],[RN Hours Contract]]/Table39[[#This Row],[RN Hours]]</f>
        <v>0</v>
      </c>
      <c r="O29" s="3">
        <v>8.4972222222222218</v>
      </c>
      <c r="P29" s="3">
        <v>0</v>
      </c>
      <c r="Q29" s="4">
        <f>Table39[[#This Row],[RN Admin Hours Contract]]/Table39[[#This Row],[RN Admin Hours]]</f>
        <v>0</v>
      </c>
      <c r="R29" s="3">
        <v>4.7111111111111112</v>
      </c>
      <c r="S29" s="3">
        <v>0</v>
      </c>
      <c r="T29" s="4">
        <f>Table39[[#This Row],[RN DON Hours Contract]]/Table39[[#This Row],[RN DON Hours]]</f>
        <v>0</v>
      </c>
      <c r="U29" s="3">
        <f>SUM(Table39[[#This Row],[LPN Hours]], Table39[[#This Row],[LPN Admin Hours]])</f>
        <v>0</v>
      </c>
      <c r="V29" s="3">
        <f>Table39[[#This Row],[LPN Hours Contract]]+Table39[[#This Row],[LPN Admin Hours Contract]]</f>
        <v>0</v>
      </c>
      <c r="W29" s="4">
        <v>0</v>
      </c>
      <c r="X29" s="3">
        <v>0</v>
      </c>
      <c r="Y29" s="3">
        <v>0</v>
      </c>
      <c r="Z29" s="4">
        <v>0</v>
      </c>
      <c r="AA29" s="3">
        <v>0</v>
      </c>
      <c r="AB29" s="3">
        <v>0</v>
      </c>
      <c r="AC29" s="4">
        <v>0</v>
      </c>
      <c r="AD29" s="3">
        <f>SUM(Table39[[#This Row],[CNA Hours]], Table39[[#This Row],[NA in Training Hours]], Table39[[#This Row],[Med Aide/Tech Hours]])</f>
        <v>78.978777777777779</v>
      </c>
      <c r="AE29" s="3">
        <f>SUM(Table39[[#This Row],[CNA Hours Contract]], Table39[[#This Row],[NA in Training Hours Contract]], Table39[[#This Row],[Med Aide/Tech Hours Contract]])</f>
        <v>5.8343333333333334</v>
      </c>
      <c r="AF29" s="4">
        <f>Table39[[#This Row],[CNA/NA/Med Aide Contract Hours]]/Table39[[#This Row],[Total CNA, NA in Training, Med Aide/Tech Hours]]</f>
        <v>7.3872165377759702E-2</v>
      </c>
      <c r="AG29" s="3">
        <v>78.978777777777779</v>
      </c>
      <c r="AH29" s="3">
        <v>5.8343333333333334</v>
      </c>
      <c r="AI29" s="4">
        <f>Table39[[#This Row],[CNA Hours Contract]]/Table39[[#This Row],[CNA Hours]]</f>
        <v>7.3872165377759702E-2</v>
      </c>
      <c r="AJ29" s="3">
        <v>0</v>
      </c>
      <c r="AK29" s="3">
        <v>0</v>
      </c>
      <c r="AL29" s="4">
        <v>0</v>
      </c>
      <c r="AM29" s="3">
        <v>0</v>
      </c>
      <c r="AN29" s="3">
        <v>0</v>
      </c>
      <c r="AO29" s="4">
        <v>0</v>
      </c>
      <c r="AP29" s="1" t="s">
        <v>27</v>
      </c>
      <c r="AQ29" s="1">
        <v>9</v>
      </c>
    </row>
    <row r="30" spans="1:43" x14ac:dyDescent="0.2">
      <c r="A30" s="1" t="s">
        <v>41</v>
      </c>
      <c r="B30" s="1" t="s">
        <v>70</v>
      </c>
      <c r="C30" s="1" t="s">
        <v>95</v>
      </c>
      <c r="D30" s="1" t="s">
        <v>104</v>
      </c>
      <c r="E30" s="3">
        <v>78.966666666666669</v>
      </c>
      <c r="F30" s="3">
        <f t="shared" si="0"/>
        <v>336.48411111111113</v>
      </c>
      <c r="G30" s="3">
        <f>SUM(Table39[[#This Row],[RN Hours Contract (W/ Admin, DON)]], Table39[[#This Row],[LPN Contract Hours (w/ Admin)]], Table39[[#This Row],[CNA/NA/Med Aide Contract Hours]])</f>
        <v>0</v>
      </c>
      <c r="H30" s="4">
        <f>Table39[[#This Row],[Total Contract Hours]]/Table39[[#This Row],[Total Hours Nurse Staffing]]</f>
        <v>0</v>
      </c>
      <c r="I30" s="3">
        <f>SUM(Table39[[#This Row],[RN Hours]], Table39[[#This Row],[RN Admin Hours]], Table39[[#This Row],[RN DON Hours]])</f>
        <v>139.89399999999998</v>
      </c>
      <c r="J30" s="3">
        <f t="shared" si="1"/>
        <v>0</v>
      </c>
      <c r="K30" s="4">
        <f>Table39[[#This Row],[RN Hours Contract (W/ Admin, DON)]]/Table39[[#This Row],[RN Hours (w/ Admin, DON)]]</f>
        <v>0</v>
      </c>
      <c r="L30" s="3">
        <v>110.64699999999999</v>
      </c>
      <c r="M30" s="3">
        <v>0</v>
      </c>
      <c r="N30" s="4">
        <f>Table39[[#This Row],[RN Hours Contract]]/Table39[[#This Row],[RN Hours]]</f>
        <v>0</v>
      </c>
      <c r="O30" s="3">
        <v>23.646999999999998</v>
      </c>
      <c r="P30" s="3">
        <v>0</v>
      </c>
      <c r="Q30" s="4">
        <f>Table39[[#This Row],[RN Admin Hours Contract]]/Table39[[#This Row],[RN Admin Hours]]</f>
        <v>0</v>
      </c>
      <c r="R30" s="3">
        <v>5.6</v>
      </c>
      <c r="S30" s="3">
        <v>0</v>
      </c>
      <c r="T30" s="4">
        <f>Table39[[#This Row],[RN DON Hours Contract]]/Table39[[#This Row],[RN DON Hours]]</f>
        <v>0</v>
      </c>
      <c r="U30" s="3">
        <f>SUM(Table39[[#This Row],[LPN Hours]], Table39[[#This Row],[LPN Admin Hours]])</f>
        <v>36.282000000000004</v>
      </c>
      <c r="V30" s="3">
        <f>Table39[[#This Row],[LPN Hours Contract]]+Table39[[#This Row],[LPN Admin Hours Contract]]</f>
        <v>0</v>
      </c>
      <c r="W30" s="4">
        <f t="shared" si="2"/>
        <v>0</v>
      </c>
      <c r="X30" s="3">
        <v>36.282000000000004</v>
      </c>
      <c r="Y30" s="3">
        <v>0</v>
      </c>
      <c r="Z30" s="4">
        <f>Table39[[#This Row],[LPN Hours Contract]]/Table39[[#This Row],[LPN Hours]]</f>
        <v>0</v>
      </c>
      <c r="AA30" s="3">
        <v>0</v>
      </c>
      <c r="AB30" s="3">
        <v>0</v>
      </c>
      <c r="AC30" s="4">
        <v>0</v>
      </c>
      <c r="AD30" s="3">
        <f>SUM(Table39[[#This Row],[CNA Hours]], Table39[[#This Row],[NA in Training Hours]], Table39[[#This Row],[Med Aide/Tech Hours]])</f>
        <v>160.30811111111112</v>
      </c>
      <c r="AE30" s="3">
        <f>SUM(Table39[[#This Row],[CNA Hours Contract]], Table39[[#This Row],[NA in Training Hours Contract]], Table39[[#This Row],[Med Aide/Tech Hours Contract]])</f>
        <v>0</v>
      </c>
      <c r="AF30" s="4">
        <f>Table39[[#This Row],[CNA/NA/Med Aide Contract Hours]]/Table39[[#This Row],[Total CNA, NA in Training, Med Aide/Tech Hours]]</f>
        <v>0</v>
      </c>
      <c r="AG30" s="3">
        <v>157.59977777777777</v>
      </c>
      <c r="AH30" s="3">
        <v>0</v>
      </c>
      <c r="AI30" s="4">
        <f>Table39[[#This Row],[CNA Hours Contract]]/Table39[[#This Row],[CNA Hours]]</f>
        <v>0</v>
      </c>
      <c r="AJ30" s="3">
        <v>2.7083333333333335</v>
      </c>
      <c r="AK30" s="3">
        <v>0</v>
      </c>
      <c r="AL30" s="4">
        <f>Table39[[#This Row],[NA in Training Hours Contract]]/Table39[[#This Row],[NA in Training Hours]]</f>
        <v>0</v>
      </c>
      <c r="AM30" s="3">
        <v>0</v>
      </c>
      <c r="AN30" s="3">
        <v>0</v>
      </c>
      <c r="AO30" s="4">
        <v>0</v>
      </c>
      <c r="AP30" s="1" t="s">
        <v>28</v>
      </c>
      <c r="AQ30" s="1">
        <v>9</v>
      </c>
    </row>
    <row r="31" spans="1:43" x14ac:dyDescent="0.2">
      <c r="A31" s="1" t="s">
        <v>41</v>
      </c>
      <c r="B31" s="1" t="s">
        <v>71</v>
      </c>
      <c r="C31" s="1" t="s">
        <v>96</v>
      </c>
      <c r="D31" s="1" t="s">
        <v>101</v>
      </c>
      <c r="E31" s="3">
        <v>70.766666666666666</v>
      </c>
      <c r="F31" s="3">
        <f t="shared" si="0"/>
        <v>246.10633333333334</v>
      </c>
      <c r="G31" s="3">
        <f>SUM(Table39[[#This Row],[RN Hours Contract (W/ Admin, DON)]], Table39[[#This Row],[LPN Contract Hours (w/ Admin)]], Table39[[#This Row],[CNA/NA/Med Aide Contract Hours]])</f>
        <v>0</v>
      </c>
      <c r="H31" s="4">
        <f>Table39[[#This Row],[Total Contract Hours]]/Table39[[#This Row],[Total Hours Nurse Staffing]]</f>
        <v>0</v>
      </c>
      <c r="I31" s="3">
        <f>SUM(Table39[[#This Row],[RN Hours]], Table39[[#This Row],[RN Admin Hours]], Table39[[#This Row],[RN DON Hours]])</f>
        <v>74.198777777777764</v>
      </c>
      <c r="J31" s="3">
        <f t="shared" si="1"/>
        <v>0</v>
      </c>
      <c r="K31" s="4">
        <f>Table39[[#This Row],[RN Hours Contract (W/ Admin, DON)]]/Table39[[#This Row],[RN Hours (w/ Admin, DON)]]</f>
        <v>0</v>
      </c>
      <c r="L31" s="3">
        <v>57.888111111111115</v>
      </c>
      <c r="M31" s="3">
        <v>0</v>
      </c>
      <c r="N31" s="4">
        <f>Table39[[#This Row],[RN Hours Contract]]/Table39[[#This Row],[RN Hours]]</f>
        <v>0</v>
      </c>
      <c r="O31" s="3">
        <v>10.710666666666661</v>
      </c>
      <c r="P31" s="3">
        <v>0</v>
      </c>
      <c r="Q31" s="4">
        <f>Table39[[#This Row],[RN Admin Hours Contract]]/Table39[[#This Row],[RN Admin Hours]]</f>
        <v>0</v>
      </c>
      <c r="R31" s="3">
        <v>5.6</v>
      </c>
      <c r="S31" s="3">
        <v>0</v>
      </c>
      <c r="T31" s="4">
        <f>Table39[[#This Row],[RN DON Hours Contract]]/Table39[[#This Row],[RN DON Hours]]</f>
        <v>0</v>
      </c>
      <c r="U31" s="3">
        <f>SUM(Table39[[#This Row],[LPN Hours]], Table39[[#This Row],[LPN Admin Hours]])</f>
        <v>51.097444444444449</v>
      </c>
      <c r="V31" s="3">
        <f>Table39[[#This Row],[LPN Hours Contract]]+Table39[[#This Row],[LPN Admin Hours Contract]]</f>
        <v>0</v>
      </c>
      <c r="W31" s="4">
        <f t="shared" si="2"/>
        <v>0</v>
      </c>
      <c r="X31" s="3">
        <v>45.498222222222225</v>
      </c>
      <c r="Y31" s="3">
        <v>0</v>
      </c>
      <c r="Z31" s="4">
        <f>Table39[[#This Row],[LPN Hours Contract]]/Table39[[#This Row],[LPN Hours]]</f>
        <v>0</v>
      </c>
      <c r="AA31" s="3">
        <v>5.5992222222222212</v>
      </c>
      <c r="AB31" s="3">
        <v>0</v>
      </c>
      <c r="AC31" s="4">
        <f>Table39[[#This Row],[LPN Admin Hours Contract]]/Table39[[#This Row],[LPN Admin Hours]]</f>
        <v>0</v>
      </c>
      <c r="AD31" s="3">
        <f>SUM(Table39[[#This Row],[CNA Hours]], Table39[[#This Row],[NA in Training Hours]], Table39[[#This Row],[Med Aide/Tech Hours]])</f>
        <v>120.81011111111111</v>
      </c>
      <c r="AE31" s="3">
        <f>SUM(Table39[[#This Row],[CNA Hours Contract]], Table39[[#This Row],[NA in Training Hours Contract]], Table39[[#This Row],[Med Aide/Tech Hours Contract]])</f>
        <v>0</v>
      </c>
      <c r="AF31" s="4">
        <f>Table39[[#This Row],[CNA/NA/Med Aide Contract Hours]]/Table39[[#This Row],[Total CNA, NA in Training, Med Aide/Tech Hours]]</f>
        <v>0</v>
      </c>
      <c r="AG31" s="3">
        <v>115.575</v>
      </c>
      <c r="AH31" s="3">
        <v>0</v>
      </c>
      <c r="AI31" s="4">
        <f>Table39[[#This Row],[CNA Hours Contract]]/Table39[[#This Row],[CNA Hours]]</f>
        <v>0</v>
      </c>
      <c r="AJ31" s="3">
        <v>5.2351111111111122</v>
      </c>
      <c r="AK31" s="3">
        <v>0</v>
      </c>
      <c r="AL31" s="4">
        <f>Table39[[#This Row],[NA in Training Hours Contract]]/Table39[[#This Row],[NA in Training Hours]]</f>
        <v>0</v>
      </c>
      <c r="AM31" s="3">
        <v>0</v>
      </c>
      <c r="AN31" s="3">
        <v>0</v>
      </c>
      <c r="AO31" s="4">
        <v>0</v>
      </c>
      <c r="AP31" s="1" t="s">
        <v>29</v>
      </c>
      <c r="AQ31" s="1">
        <v>9</v>
      </c>
    </row>
    <row r="32" spans="1:43" x14ac:dyDescent="0.2">
      <c r="A32" s="1" t="s">
        <v>41</v>
      </c>
      <c r="B32" s="1" t="s">
        <v>72</v>
      </c>
      <c r="C32" s="1" t="s">
        <v>87</v>
      </c>
      <c r="D32" s="1" t="s">
        <v>104</v>
      </c>
      <c r="E32" s="3">
        <v>12.466666666666667</v>
      </c>
      <c r="F32" s="3">
        <f t="shared" si="0"/>
        <v>94.069444444444429</v>
      </c>
      <c r="G32" s="3">
        <f>SUM(Table39[[#This Row],[RN Hours Contract (W/ Admin, DON)]], Table39[[#This Row],[LPN Contract Hours (w/ Admin)]], Table39[[#This Row],[CNA/NA/Med Aide Contract Hours]])</f>
        <v>0</v>
      </c>
      <c r="H32" s="4">
        <f>Table39[[#This Row],[Total Contract Hours]]/Table39[[#This Row],[Total Hours Nurse Staffing]]</f>
        <v>0</v>
      </c>
      <c r="I32" s="3">
        <f>SUM(Table39[[#This Row],[RN Hours]], Table39[[#This Row],[RN Admin Hours]], Table39[[#This Row],[RN DON Hours]])</f>
        <v>28.627666666666663</v>
      </c>
      <c r="J32" s="3">
        <f t="shared" si="1"/>
        <v>0</v>
      </c>
      <c r="K32" s="4">
        <f>Table39[[#This Row],[RN Hours Contract (W/ Admin, DON)]]/Table39[[#This Row],[RN Hours (w/ Admin, DON)]]</f>
        <v>0</v>
      </c>
      <c r="L32" s="3">
        <v>22.081888888888887</v>
      </c>
      <c r="M32" s="3">
        <v>0</v>
      </c>
      <c r="N32" s="4">
        <f>Table39[[#This Row],[RN Hours Contract]]/Table39[[#This Row],[RN Hours]]</f>
        <v>0</v>
      </c>
      <c r="O32" s="3">
        <v>4.6684444444444448</v>
      </c>
      <c r="P32" s="3">
        <v>0</v>
      </c>
      <c r="Q32" s="4">
        <f>Table39[[#This Row],[RN Admin Hours Contract]]/Table39[[#This Row],[RN Admin Hours]]</f>
        <v>0</v>
      </c>
      <c r="R32" s="3">
        <v>1.8773333333333335</v>
      </c>
      <c r="S32" s="3">
        <v>0</v>
      </c>
      <c r="T32" s="4">
        <f>Table39[[#This Row],[RN DON Hours Contract]]/Table39[[#This Row],[RN DON Hours]]</f>
        <v>0</v>
      </c>
      <c r="U32" s="3">
        <f>SUM(Table39[[#This Row],[LPN Hours]], Table39[[#This Row],[LPN Admin Hours]])</f>
        <v>5.8781111111111111</v>
      </c>
      <c r="V32" s="3">
        <f>Table39[[#This Row],[LPN Hours Contract]]+Table39[[#This Row],[LPN Admin Hours Contract]]</f>
        <v>0</v>
      </c>
      <c r="W32" s="4">
        <f t="shared" si="2"/>
        <v>0</v>
      </c>
      <c r="X32" s="3">
        <v>5.8781111111111111</v>
      </c>
      <c r="Y32" s="3">
        <v>0</v>
      </c>
      <c r="Z32" s="4">
        <f>Table39[[#This Row],[LPN Hours Contract]]/Table39[[#This Row],[LPN Hours]]</f>
        <v>0</v>
      </c>
      <c r="AA32" s="3">
        <v>0</v>
      </c>
      <c r="AB32" s="3">
        <v>0</v>
      </c>
      <c r="AC32" s="4">
        <v>0</v>
      </c>
      <c r="AD32" s="3">
        <f>SUM(Table39[[#This Row],[CNA Hours]], Table39[[#This Row],[NA in Training Hours]], Table39[[#This Row],[Med Aide/Tech Hours]])</f>
        <v>59.563666666666663</v>
      </c>
      <c r="AE32" s="3">
        <f>SUM(Table39[[#This Row],[CNA Hours Contract]], Table39[[#This Row],[NA in Training Hours Contract]], Table39[[#This Row],[Med Aide/Tech Hours Contract]])</f>
        <v>0</v>
      </c>
      <c r="AF32" s="4">
        <f>Table39[[#This Row],[CNA/NA/Med Aide Contract Hours]]/Table39[[#This Row],[Total CNA, NA in Training, Med Aide/Tech Hours]]</f>
        <v>0</v>
      </c>
      <c r="AG32" s="3">
        <v>59.563666666666663</v>
      </c>
      <c r="AH32" s="3">
        <v>0</v>
      </c>
      <c r="AI32" s="4">
        <f>Table39[[#This Row],[CNA Hours Contract]]/Table39[[#This Row],[CNA Hours]]</f>
        <v>0</v>
      </c>
      <c r="AJ32" s="3">
        <v>0</v>
      </c>
      <c r="AK32" s="3">
        <v>0</v>
      </c>
      <c r="AL32" s="4">
        <v>0</v>
      </c>
      <c r="AM32" s="3">
        <v>0</v>
      </c>
      <c r="AN32" s="3">
        <v>0</v>
      </c>
      <c r="AO32" s="4">
        <v>0</v>
      </c>
      <c r="AP32" s="1" t="s">
        <v>30</v>
      </c>
      <c r="AQ32" s="1">
        <v>9</v>
      </c>
    </row>
    <row r="33" spans="1:43" x14ac:dyDescent="0.2">
      <c r="A33" s="1" t="s">
        <v>41</v>
      </c>
      <c r="B33" s="1" t="s">
        <v>73</v>
      </c>
      <c r="C33" s="1" t="s">
        <v>97</v>
      </c>
      <c r="D33" s="1" t="s">
        <v>102</v>
      </c>
      <c r="E33" s="3">
        <v>66.577777777777783</v>
      </c>
      <c r="F33" s="3">
        <f t="shared" si="0"/>
        <v>335.36388888888888</v>
      </c>
      <c r="G33" s="3">
        <f>SUM(Table39[[#This Row],[RN Hours Contract (W/ Admin, DON)]], Table39[[#This Row],[LPN Contract Hours (w/ Admin)]], Table39[[#This Row],[CNA/NA/Med Aide Contract Hours]])</f>
        <v>17.211111111111112</v>
      </c>
      <c r="H33" s="4">
        <f>Table39[[#This Row],[Total Contract Hours]]/Table39[[#This Row],[Total Hours Nurse Staffing]]</f>
        <v>5.1320704707158896E-2</v>
      </c>
      <c r="I33" s="3">
        <f>SUM(Table39[[#This Row],[RN Hours]], Table39[[#This Row],[RN Admin Hours]], Table39[[#This Row],[RN DON Hours]])</f>
        <v>62.06666666666667</v>
      </c>
      <c r="J33" s="3">
        <f t="shared" si="1"/>
        <v>0</v>
      </c>
      <c r="K33" s="4">
        <f>Table39[[#This Row],[RN Hours Contract (W/ Admin, DON)]]/Table39[[#This Row],[RN Hours (w/ Admin, DON)]]</f>
        <v>0</v>
      </c>
      <c r="L33" s="3">
        <v>41.030555555555559</v>
      </c>
      <c r="M33" s="3">
        <v>0</v>
      </c>
      <c r="N33" s="4">
        <f>Table39[[#This Row],[RN Hours Contract]]/Table39[[#This Row],[RN Hours]]</f>
        <v>0</v>
      </c>
      <c r="O33" s="3">
        <v>21.036111111111111</v>
      </c>
      <c r="P33" s="3">
        <v>0</v>
      </c>
      <c r="Q33" s="4">
        <f>Table39[[#This Row],[RN Admin Hours Contract]]/Table39[[#This Row],[RN Admin Hours]]</f>
        <v>0</v>
      </c>
      <c r="R33" s="3">
        <v>0</v>
      </c>
      <c r="S33" s="3">
        <v>0</v>
      </c>
      <c r="T33" s="4">
        <v>0</v>
      </c>
      <c r="U33" s="3">
        <f>SUM(Table39[[#This Row],[LPN Hours]], Table39[[#This Row],[LPN Admin Hours]])</f>
        <v>70.341666666666669</v>
      </c>
      <c r="V33" s="3">
        <f>Table39[[#This Row],[LPN Hours Contract]]+Table39[[#This Row],[LPN Admin Hours Contract]]</f>
        <v>17.211111111111112</v>
      </c>
      <c r="W33" s="4">
        <f t="shared" si="2"/>
        <v>0.24467875054298466</v>
      </c>
      <c r="X33" s="3">
        <v>60.294444444444444</v>
      </c>
      <c r="Y33" s="3">
        <v>17.211111111111112</v>
      </c>
      <c r="Z33" s="4">
        <f>Table39[[#This Row],[LPN Hours Contract]]/Table39[[#This Row],[LPN Hours]]</f>
        <v>0.28545102736570538</v>
      </c>
      <c r="AA33" s="3">
        <v>10.047222222222222</v>
      </c>
      <c r="AB33" s="3">
        <v>0</v>
      </c>
      <c r="AC33" s="4">
        <f>Table39[[#This Row],[LPN Admin Hours Contract]]/Table39[[#This Row],[LPN Admin Hours]]</f>
        <v>0</v>
      </c>
      <c r="AD33" s="3">
        <f>SUM(Table39[[#This Row],[CNA Hours]], Table39[[#This Row],[NA in Training Hours]], Table39[[#This Row],[Med Aide/Tech Hours]])</f>
        <v>202.95555555555555</v>
      </c>
      <c r="AE33" s="3">
        <f>SUM(Table39[[#This Row],[CNA Hours Contract]], Table39[[#This Row],[NA in Training Hours Contract]], Table39[[#This Row],[Med Aide/Tech Hours Contract]])</f>
        <v>0</v>
      </c>
      <c r="AF33" s="4">
        <f>Table39[[#This Row],[CNA/NA/Med Aide Contract Hours]]/Table39[[#This Row],[Total CNA, NA in Training, Med Aide/Tech Hours]]</f>
        <v>0</v>
      </c>
      <c r="AG33" s="3">
        <v>174.58055555555555</v>
      </c>
      <c r="AH33" s="3">
        <v>0</v>
      </c>
      <c r="AI33" s="4">
        <f>Table39[[#This Row],[CNA Hours Contract]]/Table39[[#This Row],[CNA Hours]]</f>
        <v>0</v>
      </c>
      <c r="AJ33" s="3">
        <v>28.375</v>
      </c>
      <c r="AK33" s="3">
        <v>0</v>
      </c>
      <c r="AL33" s="4">
        <f>Table39[[#This Row],[NA in Training Hours Contract]]/Table39[[#This Row],[NA in Training Hours]]</f>
        <v>0</v>
      </c>
      <c r="AM33" s="3">
        <v>0</v>
      </c>
      <c r="AN33" s="3">
        <v>0</v>
      </c>
      <c r="AO33" s="4">
        <v>0</v>
      </c>
      <c r="AP33" s="1" t="s">
        <v>31</v>
      </c>
      <c r="AQ33" s="1">
        <v>9</v>
      </c>
    </row>
    <row r="34" spans="1:43" x14ac:dyDescent="0.2">
      <c r="A34" s="1" t="s">
        <v>41</v>
      </c>
      <c r="B34" s="1" t="s">
        <v>74</v>
      </c>
      <c r="C34" s="1" t="s">
        <v>98</v>
      </c>
      <c r="D34" s="1" t="s">
        <v>104</v>
      </c>
      <c r="E34" s="3">
        <v>27.844444444444445</v>
      </c>
      <c r="F34" s="3">
        <f t="shared" si="0"/>
        <v>293.90800000000002</v>
      </c>
      <c r="G34" s="3">
        <f>SUM(Table39[[#This Row],[RN Hours Contract (W/ Admin, DON)]], Table39[[#This Row],[LPN Contract Hours (w/ Admin)]], Table39[[#This Row],[CNA/NA/Med Aide Contract Hours]])</f>
        <v>25.605555555555558</v>
      </c>
      <c r="H34" s="4">
        <f>Table39[[#This Row],[Total Contract Hours]]/Table39[[#This Row],[Total Hours Nurse Staffing]]</f>
        <v>8.7120988729655388E-2</v>
      </c>
      <c r="I34" s="3">
        <f>SUM(Table39[[#This Row],[RN Hours]], Table39[[#This Row],[RN Admin Hours]], Table39[[#This Row],[RN DON Hours]])</f>
        <v>160.98611111111111</v>
      </c>
      <c r="J34" s="3">
        <f t="shared" si="1"/>
        <v>0.57777777777777772</v>
      </c>
      <c r="K34" s="4">
        <f>Table39[[#This Row],[RN Hours Contract (W/ Admin, DON)]]/Table39[[#This Row],[RN Hours (w/ Admin, DON)]]</f>
        <v>3.5889914588905182E-3</v>
      </c>
      <c r="L34" s="3">
        <v>152.58611111111111</v>
      </c>
      <c r="M34" s="3">
        <v>0</v>
      </c>
      <c r="N34" s="4">
        <f>Table39[[#This Row],[RN Hours Contract]]/Table39[[#This Row],[RN Hours]]</f>
        <v>0</v>
      </c>
      <c r="O34" s="3">
        <v>0.57777777777777772</v>
      </c>
      <c r="P34" s="3">
        <v>0.57777777777777772</v>
      </c>
      <c r="Q34" s="4">
        <f>Table39[[#This Row],[RN Admin Hours Contract]]/Table39[[#This Row],[RN Admin Hours]]</f>
        <v>1</v>
      </c>
      <c r="R34" s="3">
        <v>7.822222222222222</v>
      </c>
      <c r="S34" s="3">
        <v>0</v>
      </c>
      <c r="T34" s="4">
        <f>Table39[[#This Row],[RN DON Hours Contract]]/Table39[[#This Row],[RN DON Hours]]</f>
        <v>0</v>
      </c>
      <c r="U34" s="3">
        <f>SUM(Table39[[#This Row],[LPN Hours]], Table39[[#This Row],[LPN Admin Hours]])</f>
        <v>11.102777777777778</v>
      </c>
      <c r="V34" s="3">
        <f>Table39[[#This Row],[LPN Hours Contract]]+Table39[[#This Row],[LPN Admin Hours Contract]]</f>
        <v>0</v>
      </c>
      <c r="W34" s="4">
        <f t="shared" si="2"/>
        <v>0</v>
      </c>
      <c r="X34" s="3">
        <v>11.102777777777778</v>
      </c>
      <c r="Y34" s="3">
        <v>0</v>
      </c>
      <c r="Z34" s="4">
        <f>Table39[[#This Row],[LPN Hours Contract]]/Table39[[#This Row],[LPN Hours]]</f>
        <v>0</v>
      </c>
      <c r="AA34" s="3">
        <v>0</v>
      </c>
      <c r="AB34" s="3">
        <v>0</v>
      </c>
      <c r="AC34" s="4">
        <v>0</v>
      </c>
      <c r="AD34" s="3">
        <f>SUM(Table39[[#This Row],[CNA Hours]], Table39[[#This Row],[NA in Training Hours]], Table39[[#This Row],[Med Aide/Tech Hours]])</f>
        <v>121.8191111111111</v>
      </c>
      <c r="AE34" s="3">
        <f>SUM(Table39[[#This Row],[CNA Hours Contract]], Table39[[#This Row],[NA in Training Hours Contract]], Table39[[#This Row],[Med Aide/Tech Hours Contract]])</f>
        <v>25.027777777777779</v>
      </c>
      <c r="AF34" s="4">
        <f>Table39[[#This Row],[CNA/NA/Med Aide Contract Hours]]/Table39[[#This Row],[Total CNA, NA in Training, Med Aide/Tech Hours]]</f>
        <v>0.20545033984815375</v>
      </c>
      <c r="AG34" s="3">
        <v>121.8191111111111</v>
      </c>
      <c r="AH34" s="3">
        <v>25.027777777777779</v>
      </c>
      <c r="AI34" s="4">
        <f>Table39[[#This Row],[CNA Hours Contract]]/Table39[[#This Row],[CNA Hours]]</f>
        <v>0.20545033984815375</v>
      </c>
      <c r="AJ34" s="3">
        <v>0</v>
      </c>
      <c r="AK34" s="3">
        <v>0</v>
      </c>
      <c r="AL34" s="4">
        <v>0</v>
      </c>
      <c r="AM34" s="3">
        <v>0</v>
      </c>
      <c r="AN34" s="3">
        <v>0</v>
      </c>
      <c r="AO34" s="4">
        <v>0</v>
      </c>
      <c r="AP34" s="1" t="s">
        <v>32</v>
      </c>
      <c r="AQ34" s="1">
        <v>9</v>
      </c>
    </row>
    <row r="35" spans="1:43" x14ac:dyDescent="0.2">
      <c r="A35" s="1" t="s">
        <v>41</v>
      </c>
      <c r="B35" s="1" t="s">
        <v>75</v>
      </c>
      <c r="C35" s="1" t="s">
        <v>87</v>
      </c>
      <c r="D35" s="1" t="s">
        <v>104</v>
      </c>
      <c r="E35" s="3">
        <v>87.833333333333329</v>
      </c>
      <c r="F35" s="3">
        <f t="shared" si="0"/>
        <v>434.71111111111111</v>
      </c>
      <c r="G35" s="3">
        <f>SUM(Table39[[#This Row],[RN Hours Contract (W/ Admin, DON)]], Table39[[#This Row],[LPN Contract Hours (w/ Admin)]], Table39[[#This Row],[CNA/NA/Med Aide Contract Hours]])</f>
        <v>0</v>
      </c>
      <c r="H35" s="4">
        <f>Table39[[#This Row],[Total Contract Hours]]/Table39[[#This Row],[Total Hours Nurse Staffing]]</f>
        <v>0</v>
      </c>
      <c r="I35" s="3">
        <f>SUM(Table39[[#This Row],[RN Hours]], Table39[[#This Row],[RN Admin Hours]], Table39[[#This Row],[RN DON Hours]])</f>
        <v>178.21111111111108</v>
      </c>
      <c r="J35" s="3">
        <f t="shared" si="1"/>
        <v>0</v>
      </c>
      <c r="K35" s="4">
        <f>Table39[[#This Row],[RN Hours Contract (W/ Admin, DON)]]/Table39[[#This Row],[RN Hours (w/ Admin, DON)]]</f>
        <v>0</v>
      </c>
      <c r="L35" s="3">
        <v>141.50277777777777</v>
      </c>
      <c r="M35" s="3">
        <v>0</v>
      </c>
      <c r="N35" s="4">
        <f>Table39[[#This Row],[RN Hours Contract]]/Table39[[#This Row],[RN Hours]]</f>
        <v>0</v>
      </c>
      <c r="O35" s="3">
        <v>31.108333333333334</v>
      </c>
      <c r="P35" s="3">
        <v>0</v>
      </c>
      <c r="Q35" s="4">
        <f>Table39[[#This Row],[RN Admin Hours Contract]]/Table39[[#This Row],[RN Admin Hours]]</f>
        <v>0</v>
      </c>
      <c r="R35" s="3">
        <v>5.6</v>
      </c>
      <c r="S35" s="3">
        <v>0</v>
      </c>
      <c r="T35" s="4">
        <f>Table39[[#This Row],[RN DON Hours Contract]]/Table39[[#This Row],[RN DON Hours]]</f>
        <v>0</v>
      </c>
      <c r="U35" s="3">
        <f>SUM(Table39[[#This Row],[LPN Hours]], Table39[[#This Row],[LPN Admin Hours]])</f>
        <v>0</v>
      </c>
      <c r="V35" s="3">
        <f>Table39[[#This Row],[LPN Hours Contract]]+Table39[[#This Row],[LPN Admin Hours Contract]]</f>
        <v>0</v>
      </c>
      <c r="W35" s="4">
        <v>0</v>
      </c>
      <c r="X35" s="3">
        <v>0</v>
      </c>
      <c r="Y35" s="3">
        <v>0</v>
      </c>
      <c r="Z35" s="4">
        <v>0</v>
      </c>
      <c r="AA35" s="3">
        <v>0</v>
      </c>
      <c r="AB35" s="3">
        <v>0</v>
      </c>
      <c r="AC35" s="4">
        <v>0</v>
      </c>
      <c r="AD35" s="3">
        <f>SUM(Table39[[#This Row],[CNA Hours]], Table39[[#This Row],[NA in Training Hours]], Table39[[#This Row],[Med Aide/Tech Hours]])</f>
        <v>256.5</v>
      </c>
      <c r="AE35" s="3">
        <f>SUM(Table39[[#This Row],[CNA Hours Contract]], Table39[[#This Row],[NA in Training Hours Contract]], Table39[[#This Row],[Med Aide/Tech Hours Contract]])</f>
        <v>0</v>
      </c>
      <c r="AF35" s="4">
        <f>Table39[[#This Row],[CNA/NA/Med Aide Contract Hours]]/Table39[[#This Row],[Total CNA, NA in Training, Med Aide/Tech Hours]]</f>
        <v>0</v>
      </c>
      <c r="AG35" s="3">
        <v>256.5</v>
      </c>
      <c r="AH35" s="3">
        <v>0</v>
      </c>
      <c r="AI35" s="4">
        <f>Table39[[#This Row],[CNA Hours Contract]]/Table39[[#This Row],[CNA Hours]]</f>
        <v>0</v>
      </c>
      <c r="AJ35" s="3">
        <v>0</v>
      </c>
      <c r="AK35" s="3">
        <v>0</v>
      </c>
      <c r="AL35" s="4">
        <v>0</v>
      </c>
      <c r="AM35" s="3">
        <v>0</v>
      </c>
      <c r="AN35" s="3">
        <v>0</v>
      </c>
      <c r="AO35" s="4">
        <v>0</v>
      </c>
      <c r="AP35" s="1" t="s">
        <v>33</v>
      </c>
      <c r="AQ35" s="1">
        <v>9</v>
      </c>
    </row>
    <row r="36" spans="1:43" x14ac:dyDescent="0.2">
      <c r="A36" s="1" t="s">
        <v>41</v>
      </c>
      <c r="B36" s="1" t="s">
        <v>76</v>
      </c>
      <c r="C36" s="1" t="s">
        <v>89</v>
      </c>
      <c r="D36" s="1" t="s">
        <v>103</v>
      </c>
      <c r="E36" s="3">
        <v>42.422222222222224</v>
      </c>
      <c r="F36" s="3">
        <f t="shared" si="0"/>
        <v>171.11866666666668</v>
      </c>
      <c r="G36" s="3">
        <f>SUM(Table39[[#This Row],[RN Hours Contract (W/ Admin, DON)]], Table39[[#This Row],[LPN Contract Hours (w/ Admin)]], Table39[[#This Row],[CNA/NA/Med Aide Contract Hours]])</f>
        <v>0.40833333333333333</v>
      </c>
      <c r="H36" s="4">
        <f>Table39[[#This Row],[Total Contract Hours]]/Table39[[#This Row],[Total Hours Nurse Staffing]]</f>
        <v>2.3862582691153893E-3</v>
      </c>
      <c r="I36" s="3">
        <f>SUM(Table39[[#This Row],[RN Hours]], Table39[[#This Row],[RN Admin Hours]], Table39[[#This Row],[RN DON Hours]])</f>
        <v>48.05188888888889</v>
      </c>
      <c r="J36" s="3">
        <f t="shared" si="1"/>
        <v>0.40833333333333333</v>
      </c>
      <c r="K36" s="4">
        <f>Table39[[#This Row],[RN Hours Contract (W/ Admin, DON)]]/Table39[[#This Row],[RN Hours (w/ Admin, DON)]]</f>
        <v>8.4977582104530519E-3</v>
      </c>
      <c r="L36" s="3">
        <v>42.872333333333337</v>
      </c>
      <c r="M36" s="3">
        <v>0.40833333333333333</v>
      </c>
      <c r="N36" s="4">
        <f>Table39[[#This Row],[RN Hours Contract]]/Table39[[#This Row],[RN Hours]]</f>
        <v>9.5244019064353851E-3</v>
      </c>
      <c r="O36" s="3">
        <v>2.4222222222222225E-2</v>
      </c>
      <c r="P36" s="3">
        <v>0</v>
      </c>
      <c r="Q36" s="4">
        <f>Table39[[#This Row],[RN Admin Hours Contract]]/Table39[[#This Row],[RN Admin Hours]]</f>
        <v>0</v>
      </c>
      <c r="R36" s="3">
        <v>5.155333333333334</v>
      </c>
      <c r="S36" s="3">
        <v>0</v>
      </c>
      <c r="T36" s="4">
        <f>Table39[[#This Row],[RN DON Hours Contract]]/Table39[[#This Row],[RN DON Hours]]</f>
        <v>0</v>
      </c>
      <c r="U36" s="3">
        <f>SUM(Table39[[#This Row],[LPN Hours]], Table39[[#This Row],[LPN Admin Hours]])</f>
        <v>6.9146666666666672</v>
      </c>
      <c r="V36" s="3">
        <f>Table39[[#This Row],[LPN Hours Contract]]+Table39[[#This Row],[LPN Admin Hours Contract]]</f>
        <v>0</v>
      </c>
      <c r="W36" s="4">
        <f t="shared" si="2"/>
        <v>0</v>
      </c>
      <c r="X36" s="3">
        <v>6.1785555555555565</v>
      </c>
      <c r="Y36" s="3">
        <v>0</v>
      </c>
      <c r="Z36" s="4">
        <f>Table39[[#This Row],[LPN Hours Contract]]/Table39[[#This Row],[LPN Hours]]</f>
        <v>0</v>
      </c>
      <c r="AA36" s="3">
        <v>0.73611111111111116</v>
      </c>
      <c r="AB36" s="3">
        <v>0</v>
      </c>
      <c r="AC36" s="4">
        <f>Table39[[#This Row],[LPN Admin Hours Contract]]/Table39[[#This Row],[LPN Admin Hours]]</f>
        <v>0</v>
      </c>
      <c r="AD36" s="3">
        <f>SUM(Table39[[#This Row],[CNA Hours]], Table39[[#This Row],[NA in Training Hours]], Table39[[#This Row],[Med Aide/Tech Hours]])</f>
        <v>116.15211111111111</v>
      </c>
      <c r="AE36" s="3">
        <f>SUM(Table39[[#This Row],[CNA Hours Contract]], Table39[[#This Row],[NA in Training Hours Contract]], Table39[[#This Row],[Med Aide/Tech Hours Contract]])</f>
        <v>0</v>
      </c>
      <c r="AF36" s="4">
        <f>Table39[[#This Row],[CNA/NA/Med Aide Contract Hours]]/Table39[[#This Row],[Total CNA, NA in Training, Med Aide/Tech Hours]]</f>
        <v>0</v>
      </c>
      <c r="AG36" s="3">
        <v>108.67122222222223</v>
      </c>
      <c r="AH36" s="3">
        <v>0</v>
      </c>
      <c r="AI36" s="4">
        <f>Table39[[#This Row],[CNA Hours Contract]]/Table39[[#This Row],[CNA Hours]]</f>
        <v>0</v>
      </c>
      <c r="AJ36" s="3">
        <v>0</v>
      </c>
      <c r="AK36" s="3">
        <v>0</v>
      </c>
      <c r="AL36" s="4">
        <v>0</v>
      </c>
      <c r="AM36" s="3">
        <v>7.4808888888888871</v>
      </c>
      <c r="AN36" s="3">
        <v>0</v>
      </c>
      <c r="AO36" s="4">
        <f>Table39[[#This Row],[Med Aide/Tech Hours Contract]]/Table39[[#This Row],[Med Aide/Tech Hours]]</f>
        <v>0</v>
      </c>
      <c r="AP36" s="1" t="s">
        <v>34</v>
      </c>
      <c r="AQ36" s="1">
        <v>9</v>
      </c>
    </row>
    <row r="37" spans="1:43" x14ac:dyDescent="0.2">
      <c r="A37" s="1" t="s">
        <v>41</v>
      </c>
      <c r="B37" s="1" t="s">
        <v>77</v>
      </c>
      <c r="C37" s="1" t="s">
        <v>99</v>
      </c>
      <c r="D37" s="1" t="s">
        <v>103</v>
      </c>
      <c r="E37" s="3">
        <v>57.31111111111111</v>
      </c>
      <c r="F37" s="3">
        <f t="shared" si="0"/>
        <v>245.79444444444445</v>
      </c>
      <c r="G37" s="3">
        <f>SUM(Table39[[#This Row],[RN Hours Contract (W/ Admin, DON)]], Table39[[#This Row],[LPN Contract Hours (w/ Admin)]], Table39[[#This Row],[CNA/NA/Med Aide Contract Hours]])</f>
        <v>0</v>
      </c>
      <c r="H37" s="4">
        <f>Table39[[#This Row],[Total Contract Hours]]/Table39[[#This Row],[Total Hours Nurse Staffing]]</f>
        <v>0</v>
      </c>
      <c r="I37" s="3">
        <f>SUM(Table39[[#This Row],[RN Hours]], Table39[[#This Row],[RN Admin Hours]], Table39[[#This Row],[RN DON Hours]])</f>
        <v>76.730555555555554</v>
      </c>
      <c r="J37" s="3">
        <f t="shared" si="1"/>
        <v>0</v>
      </c>
      <c r="K37" s="4">
        <f>Table39[[#This Row],[RN Hours Contract (W/ Admin, DON)]]/Table39[[#This Row],[RN Hours (w/ Admin, DON)]]</f>
        <v>0</v>
      </c>
      <c r="L37" s="3">
        <v>58.355555555555554</v>
      </c>
      <c r="M37" s="3">
        <v>0</v>
      </c>
      <c r="N37" s="4">
        <f>Table39[[#This Row],[RN Hours Contract]]/Table39[[#This Row],[RN Hours]]</f>
        <v>0</v>
      </c>
      <c r="O37" s="3">
        <v>13.130555555555556</v>
      </c>
      <c r="P37" s="3">
        <v>0</v>
      </c>
      <c r="Q37" s="4">
        <f>Table39[[#This Row],[RN Admin Hours Contract]]/Table39[[#This Row],[RN Admin Hours]]</f>
        <v>0</v>
      </c>
      <c r="R37" s="3">
        <v>5.2444444444444445</v>
      </c>
      <c r="S37" s="3">
        <v>0</v>
      </c>
      <c r="T37" s="4">
        <f>Table39[[#This Row],[RN DON Hours Contract]]/Table39[[#This Row],[RN DON Hours]]</f>
        <v>0</v>
      </c>
      <c r="U37" s="3">
        <f>SUM(Table39[[#This Row],[LPN Hours]], Table39[[#This Row],[LPN Admin Hours]])</f>
        <v>21.755555555555556</v>
      </c>
      <c r="V37" s="3">
        <f>Table39[[#This Row],[LPN Hours Contract]]+Table39[[#This Row],[LPN Admin Hours Contract]]</f>
        <v>0</v>
      </c>
      <c r="W37" s="4">
        <f t="shared" si="2"/>
        <v>0</v>
      </c>
      <c r="X37" s="3">
        <v>21.755555555555556</v>
      </c>
      <c r="Y37" s="3">
        <v>0</v>
      </c>
      <c r="Z37" s="4">
        <f>Table39[[#This Row],[LPN Hours Contract]]/Table39[[#This Row],[LPN Hours]]</f>
        <v>0</v>
      </c>
      <c r="AA37" s="3">
        <v>0</v>
      </c>
      <c r="AB37" s="3">
        <v>0</v>
      </c>
      <c r="AC37" s="4">
        <v>0</v>
      </c>
      <c r="AD37" s="3">
        <f>SUM(Table39[[#This Row],[CNA Hours]], Table39[[#This Row],[NA in Training Hours]], Table39[[#This Row],[Med Aide/Tech Hours]])</f>
        <v>147.30833333333334</v>
      </c>
      <c r="AE37" s="3">
        <f>SUM(Table39[[#This Row],[CNA Hours Contract]], Table39[[#This Row],[NA in Training Hours Contract]], Table39[[#This Row],[Med Aide/Tech Hours Contract]])</f>
        <v>0</v>
      </c>
      <c r="AF37" s="4">
        <f>Table39[[#This Row],[CNA/NA/Med Aide Contract Hours]]/Table39[[#This Row],[Total CNA, NA in Training, Med Aide/Tech Hours]]</f>
        <v>0</v>
      </c>
      <c r="AG37" s="3">
        <v>147.24444444444444</v>
      </c>
      <c r="AH37" s="3">
        <v>0</v>
      </c>
      <c r="AI37" s="4">
        <f>Table39[[#This Row],[CNA Hours Contract]]/Table39[[#This Row],[CNA Hours]]</f>
        <v>0</v>
      </c>
      <c r="AJ37" s="3">
        <v>6.3888888888888884E-2</v>
      </c>
      <c r="AK37" s="3">
        <v>0</v>
      </c>
      <c r="AL37" s="4">
        <f>Table39[[#This Row],[NA in Training Hours Contract]]/Table39[[#This Row],[NA in Training Hours]]</f>
        <v>0</v>
      </c>
      <c r="AM37" s="3">
        <v>0</v>
      </c>
      <c r="AN37" s="3">
        <v>0</v>
      </c>
      <c r="AO37" s="4">
        <v>0</v>
      </c>
      <c r="AP37" s="1" t="s">
        <v>35</v>
      </c>
      <c r="AQ37" s="1">
        <v>9</v>
      </c>
    </row>
    <row r="38" spans="1:43" x14ac:dyDescent="0.2">
      <c r="A38" s="1" t="s">
        <v>41</v>
      </c>
      <c r="B38" s="1" t="s">
        <v>78</v>
      </c>
      <c r="C38" s="1" t="s">
        <v>87</v>
      </c>
      <c r="D38" s="1" t="s">
        <v>104</v>
      </c>
      <c r="E38" s="3">
        <v>38.333333333333336</v>
      </c>
      <c r="F38" s="3">
        <f t="shared" si="0"/>
        <v>218.31966666666665</v>
      </c>
      <c r="G38" s="3">
        <f>SUM(Table39[[#This Row],[RN Hours Contract (W/ Admin, DON)]], Table39[[#This Row],[LPN Contract Hours (w/ Admin)]], Table39[[#This Row],[CNA/NA/Med Aide Contract Hours]])</f>
        <v>2.1388888888888888</v>
      </c>
      <c r="H38" s="4">
        <f>Table39[[#This Row],[Total Contract Hours]]/Table39[[#This Row],[Total Hours Nurse Staffing]]</f>
        <v>9.7970509095480288E-3</v>
      </c>
      <c r="I38" s="3">
        <f>SUM(Table39[[#This Row],[RN Hours]], Table39[[#This Row],[RN Admin Hours]], Table39[[#This Row],[RN DON Hours]])</f>
        <v>79.409666666666666</v>
      </c>
      <c r="J38" s="3">
        <f t="shared" si="1"/>
        <v>0</v>
      </c>
      <c r="K38" s="4">
        <f>Table39[[#This Row],[RN Hours Contract (W/ Admin, DON)]]/Table39[[#This Row],[RN Hours (w/ Admin, DON)]]</f>
        <v>0</v>
      </c>
      <c r="L38" s="3">
        <v>64.74411111111111</v>
      </c>
      <c r="M38" s="3">
        <v>0</v>
      </c>
      <c r="N38" s="4">
        <f>Table39[[#This Row],[RN Hours Contract]]/Table39[[#This Row],[RN Hours]]</f>
        <v>0</v>
      </c>
      <c r="O38" s="3">
        <v>10.082222222222223</v>
      </c>
      <c r="P38" s="3">
        <v>0</v>
      </c>
      <c r="Q38" s="4">
        <f>Table39[[#This Row],[RN Admin Hours Contract]]/Table39[[#This Row],[RN Admin Hours]]</f>
        <v>0</v>
      </c>
      <c r="R38" s="3">
        <v>4.583333333333333</v>
      </c>
      <c r="S38" s="3">
        <v>0</v>
      </c>
      <c r="T38" s="4">
        <f>Table39[[#This Row],[RN DON Hours Contract]]/Table39[[#This Row],[RN DON Hours]]</f>
        <v>0</v>
      </c>
      <c r="U38" s="3">
        <f>SUM(Table39[[#This Row],[LPN Hours]], Table39[[#This Row],[LPN Admin Hours]])</f>
        <v>9.5076666666666672</v>
      </c>
      <c r="V38" s="3">
        <f>Table39[[#This Row],[LPN Hours Contract]]+Table39[[#This Row],[LPN Admin Hours Contract]]</f>
        <v>0</v>
      </c>
      <c r="W38" s="4">
        <f t="shared" si="2"/>
        <v>0</v>
      </c>
      <c r="X38" s="3">
        <v>9.5076666666666672</v>
      </c>
      <c r="Y38" s="3">
        <v>0</v>
      </c>
      <c r="Z38" s="4">
        <f>Table39[[#This Row],[LPN Hours Contract]]/Table39[[#This Row],[LPN Hours]]</f>
        <v>0</v>
      </c>
      <c r="AA38" s="3">
        <v>0</v>
      </c>
      <c r="AB38" s="3">
        <v>0</v>
      </c>
      <c r="AC38" s="4">
        <v>0</v>
      </c>
      <c r="AD38" s="3">
        <f>SUM(Table39[[#This Row],[CNA Hours]], Table39[[#This Row],[NA in Training Hours]], Table39[[#This Row],[Med Aide/Tech Hours]])</f>
        <v>129.40233333333333</v>
      </c>
      <c r="AE38" s="3">
        <f>SUM(Table39[[#This Row],[CNA Hours Contract]], Table39[[#This Row],[NA in Training Hours Contract]], Table39[[#This Row],[Med Aide/Tech Hours Contract]])</f>
        <v>2.1388888888888888</v>
      </c>
      <c r="AF38" s="4">
        <f>Table39[[#This Row],[CNA/NA/Med Aide Contract Hours]]/Table39[[#This Row],[Total CNA, NA in Training, Med Aide/Tech Hours]]</f>
        <v>1.6528982389979231E-2</v>
      </c>
      <c r="AG38" s="3">
        <v>129.40233333333333</v>
      </c>
      <c r="AH38" s="3">
        <v>2.1388888888888888</v>
      </c>
      <c r="AI38" s="4">
        <f>Table39[[#This Row],[CNA Hours Contract]]/Table39[[#This Row],[CNA Hours]]</f>
        <v>1.6528982389979231E-2</v>
      </c>
      <c r="AJ38" s="3">
        <v>0</v>
      </c>
      <c r="AK38" s="3">
        <v>0</v>
      </c>
      <c r="AL38" s="4">
        <v>0</v>
      </c>
      <c r="AM38" s="3">
        <v>0</v>
      </c>
      <c r="AN38" s="3">
        <v>0</v>
      </c>
      <c r="AO38" s="4">
        <v>0</v>
      </c>
      <c r="AP38" s="1" t="s">
        <v>36</v>
      </c>
      <c r="AQ38" s="1">
        <v>9</v>
      </c>
    </row>
    <row r="39" spans="1:43" x14ac:dyDescent="0.2">
      <c r="A39" s="1" t="s">
        <v>41</v>
      </c>
      <c r="B39" s="1" t="s">
        <v>79</v>
      </c>
      <c r="C39" s="1" t="s">
        <v>87</v>
      </c>
      <c r="D39" s="1" t="s">
        <v>104</v>
      </c>
      <c r="E39" s="3">
        <v>88.011111111111106</v>
      </c>
      <c r="F39" s="3">
        <f t="shared" si="0"/>
        <v>520.13644444444446</v>
      </c>
      <c r="G39" s="3">
        <f>SUM(Table39[[#This Row],[RN Hours Contract (W/ Admin, DON)]], Table39[[#This Row],[LPN Contract Hours (w/ Admin)]], Table39[[#This Row],[CNA/NA/Med Aide Contract Hours]])</f>
        <v>4.5666666666666664</v>
      </c>
      <c r="H39" s="4">
        <f>Table39[[#This Row],[Total Contract Hours]]/Table39[[#This Row],[Total Hours Nurse Staffing]]</f>
        <v>8.7797475363302104E-3</v>
      </c>
      <c r="I39" s="3">
        <f>SUM(Table39[[#This Row],[RN Hours]], Table39[[#This Row],[RN Admin Hours]], Table39[[#This Row],[RN DON Hours]])</f>
        <v>246.43922222222221</v>
      </c>
      <c r="J39" s="3">
        <f t="shared" si="1"/>
        <v>4.5666666666666664</v>
      </c>
      <c r="K39" s="4">
        <f>Table39[[#This Row],[RN Hours Contract (W/ Admin, DON)]]/Table39[[#This Row],[RN Hours (w/ Admin, DON)]]</f>
        <v>1.8530600062309707E-2</v>
      </c>
      <c r="L39" s="3">
        <v>184.05311111111109</v>
      </c>
      <c r="M39" s="3">
        <v>0</v>
      </c>
      <c r="N39" s="4">
        <f>Table39[[#This Row],[RN Hours Contract]]/Table39[[#This Row],[RN Hours]]</f>
        <v>0</v>
      </c>
      <c r="O39" s="3">
        <v>57.230555555555554</v>
      </c>
      <c r="P39" s="3">
        <v>4.5666666666666664</v>
      </c>
      <c r="Q39" s="4">
        <f>Table39[[#This Row],[RN Admin Hours Contract]]/Table39[[#This Row],[RN Admin Hours]]</f>
        <v>7.9794204727466872E-2</v>
      </c>
      <c r="R39" s="3">
        <v>5.1555555555555559</v>
      </c>
      <c r="S39" s="3">
        <v>0</v>
      </c>
      <c r="T39" s="4">
        <f>Table39[[#This Row],[RN DON Hours Contract]]/Table39[[#This Row],[RN DON Hours]]</f>
        <v>0</v>
      </c>
      <c r="U39" s="3">
        <f>SUM(Table39[[#This Row],[LPN Hours]], Table39[[#This Row],[LPN Admin Hours]])</f>
        <v>0</v>
      </c>
      <c r="V39" s="3">
        <f>Table39[[#This Row],[LPN Hours Contract]]+Table39[[#This Row],[LPN Admin Hours Contract]]</f>
        <v>0</v>
      </c>
      <c r="W39" s="4">
        <v>0</v>
      </c>
      <c r="X39" s="3">
        <v>0</v>
      </c>
      <c r="Y39" s="3">
        <v>0</v>
      </c>
      <c r="Z39" s="4">
        <v>0</v>
      </c>
      <c r="AA39" s="3">
        <v>0</v>
      </c>
      <c r="AB39" s="3">
        <v>0</v>
      </c>
      <c r="AC39" s="4">
        <v>0</v>
      </c>
      <c r="AD39" s="3">
        <f>SUM(Table39[[#This Row],[CNA Hours]], Table39[[#This Row],[NA in Training Hours]], Table39[[#This Row],[Med Aide/Tech Hours]])</f>
        <v>273.69722222222225</v>
      </c>
      <c r="AE39" s="3">
        <f>SUM(Table39[[#This Row],[CNA Hours Contract]], Table39[[#This Row],[NA in Training Hours Contract]], Table39[[#This Row],[Med Aide/Tech Hours Contract]])</f>
        <v>0</v>
      </c>
      <c r="AF39" s="4">
        <f>Table39[[#This Row],[CNA/NA/Med Aide Contract Hours]]/Table39[[#This Row],[Total CNA, NA in Training, Med Aide/Tech Hours]]</f>
        <v>0</v>
      </c>
      <c r="AG39" s="3">
        <v>263.18611111111113</v>
      </c>
      <c r="AH39" s="3">
        <v>0</v>
      </c>
      <c r="AI39" s="4">
        <f>Table39[[#This Row],[CNA Hours Contract]]/Table39[[#This Row],[CNA Hours]]</f>
        <v>0</v>
      </c>
      <c r="AJ39" s="3">
        <v>10.511111111111111</v>
      </c>
      <c r="AK39" s="3">
        <v>0</v>
      </c>
      <c r="AL39" s="4">
        <f>Table39[[#This Row],[NA in Training Hours Contract]]/Table39[[#This Row],[NA in Training Hours]]</f>
        <v>0</v>
      </c>
      <c r="AM39" s="3">
        <v>0</v>
      </c>
      <c r="AN39" s="3">
        <v>0</v>
      </c>
      <c r="AO39" s="4">
        <v>0</v>
      </c>
      <c r="AP39" s="1" t="s">
        <v>37</v>
      </c>
      <c r="AQ39" s="1">
        <v>9</v>
      </c>
    </row>
    <row r="40" spans="1:43" x14ac:dyDescent="0.2">
      <c r="A40" s="1" t="s">
        <v>41</v>
      </c>
      <c r="B40" s="1" t="s">
        <v>80</v>
      </c>
      <c r="C40" s="1" t="s">
        <v>83</v>
      </c>
      <c r="D40" s="1" t="s">
        <v>101</v>
      </c>
      <c r="E40" s="3">
        <v>71.322222222222223</v>
      </c>
      <c r="F40" s="3">
        <f t="shared" si="0"/>
        <v>310.46944444444443</v>
      </c>
      <c r="G40" s="3">
        <f>SUM(Table39[[#This Row],[RN Hours Contract (W/ Admin, DON)]], Table39[[#This Row],[LPN Contract Hours (w/ Admin)]], Table39[[#This Row],[CNA/NA/Med Aide Contract Hours]])</f>
        <v>0</v>
      </c>
      <c r="H40" s="4">
        <f>Table39[[#This Row],[Total Contract Hours]]/Table39[[#This Row],[Total Hours Nurse Staffing]]</f>
        <v>0</v>
      </c>
      <c r="I40" s="3">
        <f>SUM(Table39[[#This Row],[RN Hours]], Table39[[#This Row],[RN Admin Hours]], Table39[[#This Row],[RN DON Hours]])</f>
        <v>87.666666666666657</v>
      </c>
      <c r="J40" s="3">
        <f t="shared" si="1"/>
        <v>0</v>
      </c>
      <c r="K40" s="4">
        <f>Table39[[#This Row],[RN Hours Contract (W/ Admin, DON)]]/Table39[[#This Row],[RN Hours (w/ Admin, DON)]]</f>
        <v>0</v>
      </c>
      <c r="L40" s="3">
        <v>59.755555555555553</v>
      </c>
      <c r="M40" s="3">
        <v>0</v>
      </c>
      <c r="N40" s="4">
        <f>Table39[[#This Row],[RN Hours Contract]]/Table39[[#This Row],[RN Hours]]</f>
        <v>0</v>
      </c>
      <c r="O40" s="3">
        <v>22.4</v>
      </c>
      <c r="P40" s="3">
        <v>0</v>
      </c>
      <c r="Q40" s="4">
        <f>Table39[[#This Row],[RN Admin Hours Contract]]/Table39[[#This Row],[RN Admin Hours]]</f>
        <v>0</v>
      </c>
      <c r="R40" s="3">
        <v>5.5111111111111111</v>
      </c>
      <c r="S40" s="3">
        <v>0</v>
      </c>
      <c r="T40" s="4">
        <f>Table39[[#This Row],[RN DON Hours Contract]]/Table39[[#This Row],[RN DON Hours]]</f>
        <v>0</v>
      </c>
      <c r="U40" s="3">
        <f>SUM(Table39[[#This Row],[LPN Hours]], Table39[[#This Row],[LPN Admin Hours]])</f>
        <v>36.797222222222224</v>
      </c>
      <c r="V40" s="3">
        <f>Table39[[#This Row],[LPN Hours Contract]]+Table39[[#This Row],[LPN Admin Hours Contract]]</f>
        <v>0</v>
      </c>
      <c r="W40" s="4">
        <f t="shared" si="2"/>
        <v>0</v>
      </c>
      <c r="X40" s="3">
        <v>36.797222222222224</v>
      </c>
      <c r="Y40" s="3">
        <v>0</v>
      </c>
      <c r="Z40" s="4">
        <f>Table39[[#This Row],[LPN Hours Contract]]/Table39[[#This Row],[LPN Hours]]</f>
        <v>0</v>
      </c>
      <c r="AA40" s="3">
        <v>0</v>
      </c>
      <c r="AB40" s="3">
        <v>0</v>
      </c>
      <c r="AC40" s="4">
        <v>0</v>
      </c>
      <c r="AD40" s="3">
        <f>SUM(Table39[[#This Row],[CNA Hours]], Table39[[#This Row],[NA in Training Hours]], Table39[[#This Row],[Med Aide/Tech Hours]])</f>
        <v>186.00555555555556</v>
      </c>
      <c r="AE40" s="3">
        <f>SUM(Table39[[#This Row],[CNA Hours Contract]], Table39[[#This Row],[NA in Training Hours Contract]], Table39[[#This Row],[Med Aide/Tech Hours Contract]])</f>
        <v>0</v>
      </c>
      <c r="AF40" s="4">
        <f>Table39[[#This Row],[CNA/NA/Med Aide Contract Hours]]/Table39[[#This Row],[Total CNA, NA in Training, Med Aide/Tech Hours]]</f>
        <v>0</v>
      </c>
      <c r="AG40" s="3">
        <v>182.40277777777777</v>
      </c>
      <c r="AH40" s="3">
        <v>0</v>
      </c>
      <c r="AI40" s="4">
        <f>Table39[[#This Row],[CNA Hours Contract]]/Table39[[#This Row],[CNA Hours]]</f>
        <v>0</v>
      </c>
      <c r="AJ40" s="3">
        <v>3.6027777777777779</v>
      </c>
      <c r="AK40" s="3">
        <v>0</v>
      </c>
      <c r="AL40" s="4">
        <f>Table39[[#This Row],[NA in Training Hours Contract]]/Table39[[#This Row],[NA in Training Hours]]</f>
        <v>0</v>
      </c>
      <c r="AM40" s="3">
        <v>0</v>
      </c>
      <c r="AN40" s="3">
        <v>0</v>
      </c>
      <c r="AO40" s="4">
        <v>0</v>
      </c>
      <c r="AP40" s="1" t="s">
        <v>38</v>
      </c>
      <c r="AQ40" s="1">
        <v>9</v>
      </c>
    </row>
    <row r="41" spans="1:43" x14ac:dyDescent="0.2">
      <c r="A41" s="1" t="s">
        <v>41</v>
      </c>
      <c r="B41" s="1" t="s">
        <v>81</v>
      </c>
      <c r="C41" s="1" t="s">
        <v>87</v>
      </c>
      <c r="D41" s="1" t="s">
        <v>104</v>
      </c>
      <c r="E41" s="3">
        <v>44.077777777777776</v>
      </c>
      <c r="F41" s="3">
        <f t="shared" si="0"/>
        <v>228.16933333333333</v>
      </c>
      <c r="G41" s="3">
        <f>SUM(Table39[[#This Row],[RN Hours Contract (W/ Admin, DON)]], Table39[[#This Row],[LPN Contract Hours (w/ Admin)]], Table39[[#This Row],[CNA/NA/Med Aide Contract Hours]])</f>
        <v>5.3332222222222221</v>
      </c>
      <c r="H41" s="4">
        <f>Table39[[#This Row],[Total Contract Hours]]/Table39[[#This Row],[Total Hours Nurse Staffing]]</f>
        <v>2.3373965923943425E-2</v>
      </c>
      <c r="I41" s="3">
        <f>SUM(Table39[[#This Row],[RN Hours]], Table39[[#This Row],[RN Admin Hours]], Table39[[#This Row],[RN DON Hours]])</f>
        <v>87.84066666666665</v>
      </c>
      <c r="J41" s="3">
        <f t="shared" si="1"/>
        <v>2.5989999999999998</v>
      </c>
      <c r="K41" s="4">
        <f>Table39[[#This Row],[RN Hours Contract (W/ Admin, DON)]]/Table39[[#This Row],[RN Hours (w/ Admin, DON)]]</f>
        <v>2.9587662510150957E-2</v>
      </c>
      <c r="L41" s="3">
        <v>76.72955555555555</v>
      </c>
      <c r="M41" s="3">
        <v>2.5989999999999998</v>
      </c>
      <c r="N41" s="4">
        <f>Table39[[#This Row],[RN Hours Contract]]/Table39[[#This Row],[RN Hours]]</f>
        <v>3.3872214965694807E-2</v>
      </c>
      <c r="O41" s="3">
        <v>5.6</v>
      </c>
      <c r="P41" s="3">
        <v>0</v>
      </c>
      <c r="Q41" s="4">
        <f>Table39[[#This Row],[RN Admin Hours Contract]]/Table39[[#This Row],[RN Admin Hours]]</f>
        <v>0</v>
      </c>
      <c r="R41" s="3">
        <v>5.5111111111111111</v>
      </c>
      <c r="S41" s="3">
        <v>0</v>
      </c>
      <c r="T41" s="4">
        <f>Table39[[#This Row],[RN DON Hours Contract]]/Table39[[#This Row],[RN DON Hours]]</f>
        <v>0</v>
      </c>
      <c r="U41" s="3">
        <f>SUM(Table39[[#This Row],[LPN Hours]], Table39[[#This Row],[LPN Admin Hours]])</f>
        <v>15.905555555555557</v>
      </c>
      <c r="V41" s="3">
        <f>Table39[[#This Row],[LPN Hours Contract]]+Table39[[#This Row],[LPN Admin Hours Contract]]</f>
        <v>1.9222222222222223</v>
      </c>
      <c r="W41" s="4">
        <f t="shared" si="2"/>
        <v>0.12085225288159272</v>
      </c>
      <c r="X41" s="3">
        <v>15.311111111111112</v>
      </c>
      <c r="Y41" s="3">
        <v>1.3611111111111112</v>
      </c>
      <c r="Z41" s="4">
        <f>Table39[[#This Row],[LPN Hours Contract]]/Table39[[#This Row],[LPN Hours]]</f>
        <v>8.8896952104499272E-2</v>
      </c>
      <c r="AA41" s="3">
        <v>0.59444444444444444</v>
      </c>
      <c r="AB41" s="3">
        <v>0.56111111111111112</v>
      </c>
      <c r="AC41" s="4">
        <f>Table39[[#This Row],[LPN Admin Hours Contract]]/Table39[[#This Row],[LPN Admin Hours]]</f>
        <v>0.94392523364485981</v>
      </c>
      <c r="AD41" s="3">
        <f>SUM(Table39[[#This Row],[CNA Hours]], Table39[[#This Row],[NA in Training Hours]], Table39[[#This Row],[Med Aide/Tech Hours]])</f>
        <v>124.42311111111111</v>
      </c>
      <c r="AE41" s="3">
        <f>SUM(Table39[[#This Row],[CNA Hours Contract]], Table39[[#This Row],[NA in Training Hours Contract]], Table39[[#This Row],[Med Aide/Tech Hours Contract]])</f>
        <v>0.81199999999999994</v>
      </c>
      <c r="AF41" s="4">
        <f>Table39[[#This Row],[CNA/NA/Med Aide Contract Hours]]/Table39[[#This Row],[Total CNA, NA in Training, Med Aide/Tech Hours]]</f>
        <v>6.5261187632165507E-3</v>
      </c>
      <c r="AG41" s="3">
        <v>124.42311111111111</v>
      </c>
      <c r="AH41" s="3">
        <v>0.81199999999999994</v>
      </c>
      <c r="AI41" s="4">
        <f>Table39[[#This Row],[CNA Hours Contract]]/Table39[[#This Row],[CNA Hours]]</f>
        <v>6.5261187632165507E-3</v>
      </c>
      <c r="AJ41" s="3">
        <v>0</v>
      </c>
      <c r="AK41" s="3">
        <v>0</v>
      </c>
      <c r="AL41" s="4">
        <v>0</v>
      </c>
      <c r="AM41" s="3">
        <v>0</v>
      </c>
      <c r="AN41" s="3">
        <v>0</v>
      </c>
      <c r="AO41" s="4">
        <v>0</v>
      </c>
      <c r="AP41" s="1" t="s">
        <v>39</v>
      </c>
      <c r="AQ41" s="1">
        <v>9</v>
      </c>
    </row>
    <row r="42" spans="1:43" x14ac:dyDescent="0.2">
      <c r="A42" s="1" t="s">
        <v>41</v>
      </c>
      <c r="B42" s="1" t="s">
        <v>82</v>
      </c>
      <c r="C42" s="1" t="s">
        <v>100</v>
      </c>
      <c r="D42" s="1" t="s">
        <v>105</v>
      </c>
      <c r="E42" s="3">
        <v>10.7</v>
      </c>
      <c r="F42" s="3">
        <f t="shared" si="0"/>
        <v>95.754999999999995</v>
      </c>
      <c r="G42" s="3">
        <f>SUM(Table39[[#This Row],[RN Hours Contract (W/ Admin, DON)]], Table39[[#This Row],[LPN Contract Hours (w/ Admin)]], Table39[[#This Row],[CNA/NA/Med Aide Contract Hours]])</f>
        <v>0</v>
      </c>
      <c r="H42" s="4">
        <f>Table39[[#This Row],[Total Contract Hours]]/Table39[[#This Row],[Total Hours Nurse Staffing]]</f>
        <v>0</v>
      </c>
      <c r="I42" s="3">
        <f>SUM(Table39[[#This Row],[RN Hours]], Table39[[#This Row],[RN Admin Hours]], Table39[[#This Row],[RN DON Hours]])</f>
        <v>31.84</v>
      </c>
      <c r="J42" s="3">
        <f t="shared" si="1"/>
        <v>0</v>
      </c>
      <c r="K42" s="4">
        <f>Table39[[#This Row],[RN Hours Contract (W/ Admin, DON)]]/Table39[[#This Row],[RN Hours (w/ Admin, DON)]]</f>
        <v>0</v>
      </c>
      <c r="L42" s="3">
        <v>30.975000000000001</v>
      </c>
      <c r="M42" s="3">
        <v>0</v>
      </c>
      <c r="N42" s="4">
        <f>Table39[[#This Row],[RN Hours Contract]]/Table39[[#This Row],[RN Hours]]</f>
        <v>0</v>
      </c>
      <c r="O42" s="3">
        <v>0</v>
      </c>
      <c r="P42" s="3">
        <v>0</v>
      </c>
      <c r="Q42" s="4">
        <v>0</v>
      </c>
      <c r="R42" s="3">
        <v>0.86499999999999999</v>
      </c>
      <c r="S42" s="3">
        <v>0</v>
      </c>
      <c r="T42" s="4">
        <f>Table39[[#This Row],[RN DON Hours Contract]]/Table39[[#This Row],[RN DON Hours]]</f>
        <v>0</v>
      </c>
      <c r="U42" s="3">
        <f>SUM(Table39[[#This Row],[LPN Hours]], Table39[[#This Row],[LPN Admin Hours]])</f>
        <v>18.326666666666668</v>
      </c>
      <c r="V42" s="3">
        <f>Table39[[#This Row],[LPN Hours Contract]]+Table39[[#This Row],[LPN Admin Hours Contract]]</f>
        <v>0</v>
      </c>
      <c r="W42" s="4">
        <f t="shared" si="2"/>
        <v>0</v>
      </c>
      <c r="X42" s="3">
        <v>18.326666666666668</v>
      </c>
      <c r="Y42" s="3">
        <v>0</v>
      </c>
      <c r="Z42" s="4">
        <f>Table39[[#This Row],[LPN Hours Contract]]/Table39[[#This Row],[LPN Hours]]</f>
        <v>0</v>
      </c>
      <c r="AA42" s="3">
        <v>0</v>
      </c>
      <c r="AB42" s="3">
        <v>0</v>
      </c>
      <c r="AC42" s="4">
        <v>0</v>
      </c>
      <c r="AD42" s="3">
        <f>SUM(Table39[[#This Row],[CNA Hours]], Table39[[#This Row],[NA in Training Hours]], Table39[[#This Row],[Med Aide/Tech Hours]])</f>
        <v>45.588333333333331</v>
      </c>
      <c r="AE42" s="3">
        <f>SUM(Table39[[#This Row],[CNA Hours Contract]], Table39[[#This Row],[NA in Training Hours Contract]], Table39[[#This Row],[Med Aide/Tech Hours Contract]])</f>
        <v>0</v>
      </c>
      <c r="AF42" s="4">
        <f>Table39[[#This Row],[CNA/NA/Med Aide Contract Hours]]/Table39[[#This Row],[Total CNA, NA in Training, Med Aide/Tech Hours]]</f>
        <v>0</v>
      </c>
      <c r="AG42" s="3">
        <v>45.588333333333331</v>
      </c>
      <c r="AH42" s="3">
        <v>0</v>
      </c>
      <c r="AI42" s="4">
        <f>Table39[[#This Row],[CNA Hours Contract]]/Table39[[#This Row],[CNA Hours]]</f>
        <v>0</v>
      </c>
      <c r="AJ42" s="3">
        <v>0</v>
      </c>
      <c r="AK42" s="3">
        <v>0</v>
      </c>
      <c r="AL42" s="4">
        <v>0</v>
      </c>
      <c r="AM42" s="3">
        <v>0</v>
      </c>
      <c r="AN42" s="3">
        <v>0</v>
      </c>
      <c r="AO42" s="4">
        <v>0</v>
      </c>
      <c r="AP42" s="1" t="s">
        <v>40</v>
      </c>
      <c r="AQ42" s="1">
        <v>9</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42" numberStoredAsText="1"/>
    <ignoredError sqref="F3:K3 AD2:AD42 G2 G4:K6 G18:G42 I18:J42 I2:J2 G7:J17"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42"/>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106</v>
      </c>
      <c r="B1" s="5" t="s">
        <v>108</v>
      </c>
      <c r="C1" s="5" t="s">
        <v>124</v>
      </c>
      <c r="D1" s="5" t="s">
        <v>109</v>
      </c>
      <c r="E1" s="5" t="s">
        <v>110</v>
      </c>
      <c r="F1" s="5" t="s">
        <v>152</v>
      </c>
      <c r="G1" s="5" t="s">
        <v>153</v>
      </c>
      <c r="H1" s="5" t="s">
        <v>154</v>
      </c>
      <c r="I1" s="5" t="s">
        <v>155</v>
      </c>
      <c r="J1" s="5" t="s">
        <v>156</v>
      </c>
      <c r="K1" s="5" t="s">
        <v>157</v>
      </c>
      <c r="L1" s="5" t="s">
        <v>158</v>
      </c>
      <c r="M1" s="5" t="s">
        <v>159</v>
      </c>
      <c r="N1" s="5" t="s">
        <v>160</v>
      </c>
      <c r="O1" s="5" t="s">
        <v>161</v>
      </c>
      <c r="P1" s="5" t="s">
        <v>162</v>
      </c>
      <c r="Q1" s="5" t="s">
        <v>163</v>
      </c>
      <c r="R1" s="5" t="s">
        <v>164</v>
      </c>
      <c r="S1" s="5" t="s">
        <v>165</v>
      </c>
      <c r="T1" s="5" t="s">
        <v>166</v>
      </c>
      <c r="U1" s="5" t="s">
        <v>167</v>
      </c>
      <c r="V1" s="5" t="s">
        <v>168</v>
      </c>
      <c r="W1" s="5" t="s">
        <v>169</v>
      </c>
      <c r="X1" s="5" t="s">
        <v>170</v>
      </c>
      <c r="Y1" s="5" t="s">
        <v>171</v>
      </c>
      <c r="Z1" s="5" t="s">
        <v>172</v>
      </c>
      <c r="AA1" s="5" t="s">
        <v>173</v>
      </c>
      <c r="AB1" s="5" t="s">
        <v>174</v>
      </c>
      <c r="AC1" s="5" t="s">
        <v>175</v>
      </c>
      <c r="AD1" s="5" t="s">
        <v>176</v>
      </c>
      <c r="AE1" s="5" t="s">
        <v>177</v>
      </c>
      <c r="AF1" s="5" t="s">
        <v>178</v>
      </c>
      <c r="AG1" s="5" t="s">
        <v>179</v>
      </c>
      <c r="AH1" s="5" t="s">
        <v>107</v>
      </c>
      <c r="AI1" s="5" t="s">
        <v>151</v>
      </c>
    </row>
    <row r="2" spans="1:36" x14ac:dyDescent="0.2">
      <c r="A2" s="1" t="s">
        <v>41</v>
      </c>
      <c r="B2" s="1" t="s">
        <v>42</v>
      </c>
      <c r="C2" s="1" t="s">
        <v>83</v>
      </c>
      <c r="D2" s="1" t="s">
        <v>101</v>
      </c>
      <c r="E2" s="3">
        <v>29.622222222222224</v>
      </c>
      <c r="F2" s="3">
        <v>0</v>
      </c>
      <c r="G2" s="3">
        <v>0.24444444444444444</v>
      </c>
      <c r="H2" s="3">
        <v>0</v>
      </c>
      <c r="I2" s="3">
        <v>0</v>
      </c>
      <c r="J2" s="3">
        <v>0</v>
      </c>
      <c r="K2" s="3">
        <v>0</v>
      </c>
      <c r="L2" s="3">
        <v>0</v>
      </c>
      <c r="M2" s="3">
        <v>0</v>
      </c>
      <c r="N2" s="3">
        <v>0</v>
      </c>
      <c r="O2" s="3">
        <f>SUM(Table2[[#This Row],[Qualified Social Work Staff Hours]:[Other Social Work Staff Hours]])/Table2[[#This Row],[MDS Census]]</f>
        <v>0</v>
      </c>
      <c r="P2" s="3">
        <v>4.6277777777777782</v>
      </c>
      <c r="Q2" s="3">
        <v>10.519444444444444</v>
      </c>
      <c r="R2" s="3">
        <f>SUM(Table2[[#This Row],[Qualified Activities Professional Hours]:[Other Activities Professional Hours]])/Table2[[#This Row],[MDS Census]]</f>
        <v>0.51134658664666166</v>
      </c>
      <c r="S2" s="3">
        <v>0</v>
      </c>
      <c r="T2" s="3">
        <v>0</v>
      </c>
      <c r="U2" s="3">
        <v>0</v>
      </c>
      <c r="V2" s="3">
        <f>SUM(Table2[[#This Row],[Occupational Therapist Hours]:[OT Aide Hours]])/Table2[[#This Row],[MDS Census]]</f>
        <v>0</v>
      </c>
      <c r="W2" s="3">
        <v>0</v>
      </c>
      <c r="X2" s="3">
        <v>0</v>
      </c>
      <c r="Y2" s="3">
        <v>0</v>
      </c>
      <c r="Z2" s="3">
        <f>SUM(Table2[[#This Row],[Physical Therapist (PT) Hours]:[PT Aide Hours]])/Table2[[#This Row],[MDS Census]]</f>
        <v>0</v>
      </c>
      <c r="AA2" s="3">
        <v>0</v>
      </c>
      <c r="AB2" s="3">
        <v>0</v>
      </c>
      <c r="AC2" s="3">
        <v>0</v>
      </c>
      <c r="AD2" s="3">
        <v>0</v>
      </c>
      <c r="AE2" s="3">
        <v>0</v>
      </c>
      <c r="AF2" s="3">
        <v>0</v>
      </c>
      <c r="AG2" s="3">
        <v>0</v>
      </c>
      <c r="AH2" s="1" t="s">
        <v>0</v>
      </c>
      <c r="AI2" s="17">
        <v>9</v>
      </c>
      <c r="AJ2" s="1"/>
    </row>
    <row r="3" spans="1:36" x14ac:dyDescent="0.2">
      <c r="A3" s="1" t="s">
        <v>41</v>
      </c>
      <c r="B3" s="1" t="s">
        <v>43</v>
      </c>
      <c r="C3" s="1" t="s">
        <v>84</v>
      </c>
      <c r="D3" s="1" t="s">
        <v>102</v>
      </c>
      <c r="E3" s="3">
        <v>86.533333333333331</v>
      </c>
      <c r="F3" s="3">
        <v>4.177777777777778</v>
      </c>
      <c r="G3" s="3">
        <v>0.89444444444444449</v>
      </c>
      <c r="H3" s="3">
        <v>0.15555555555555556</v>
      </c>
      <c r="I3" s="3">
        <v>4.7111111111111112</v>
      </c>
      <c r="J3" s="3">
        <v>0</v>
      </c>
      <c r="K3" s="3">
        <v>0</v>
      </c>
      <c r="L3" s="3">
        <v>2.0666666666666669</v>
      </c>
      <c r="M3" s="3">
        <v>5.1166666666666663</v>
      </c>
      <c r="N3" s="3">
        <v>5.3277777777777775</v>
      </c>
      <c r="O3" s="3">
        <f>SUM(Table2[[#This Row],[Qualified Social Work Staff Hours]:[Other Social Work Staff Hours]])/Table2[[#This Row],[MDS Census]]</f>
        <v>0.12069851052901899</v>
      </c>
      <c r="P3" s="3">
        <v>0</v>
      </c>
      <c r="Q3" s="3">
        <v>43.161111111111111</v>
      </c>
      <c r="R3" s="3">
        <f>SUM(Table2[[#This Row],[Qualified Activities Professional Hours]:[Other Activities Professional Hours]])/Table2[[#This Row],[MDS Census]]</f>
        <v>0.49878017462763224</v>
      </c>
      <c r="S3" s="3">
        <v>4.4888888888888889</v>
      </c>
      <c r="T3" s="3">
        <v>0</v>
      </c>
      <c r="U3" s="3">
        <v>2.1888888888888891</v>
      </c>
      <c r="V3" s="3">
        <f>SUM(Table2[[#This Row],[Occupational Therapist Hours]:[OT Aide Hours]])/Table2[[#This Row],[MDS Census]]</f>
        <v>7.7170005136106834E-2</v>
      </c>
      <c r="W3" s="3">
        <v>2.4555555555555557</v>
      </c>
      <c r="X3" s="3">
        <v>0</v>
      </c>
      <c r="Y3" s="3">
        <v>5.1111111111111107</v>
      </c>
      <c r="Z3" s="3">
        <f>SUM(Table2[[#This Row],[Physical Therapist (PT) Hours]:[PT Aide Hours]])/Table2[[#This Row],[MDS Census]]</f>
        <v>8.7442218798151006E-2</v>
      </c>
      <c r="AA3" s="3">
        <v>0</v>
      </c>
      <c r="AB3" s="3">
        <v>0</v>
      </c>
      <c r="AC3" s="3">
        <v>0</v>
      </c>
      <c r="AD3" s="3">
        <v>0</v>
      </c>
      <c r="AE3" s="3">
        <v>0</v>
      </c>
      <c r="AF3" s="3">
        <v>0</v>
      </c>
      <c r="AG3" s="3">
        <v>0</v>
      </c>
      <c r="AH3" s="1" t="s">
        <v>1</v>
      </c>
      <c r="AI3" s="17">
        <v>9</v>
      </c>
      <c r="AJ3" s="1"/>
    </row>
    <row r="4" spans="1:36" x14ac:dyDescent="0.2">
      <c r="A4" s="1" t="s">
        <v>41</v>
      </c>
      <c r="B4" s="1" t="s">
        <v>44</v>
      </c>
      <c r="C4" s="1" t="s">
        <v>85</v>
      </c>
      <c r="D4" s="1" t="s">
        <v>103</v>
      </c>
      <c r="E4" s="3">
        <v>88.066666666666663</v>
      </c>
      <c r="F4" s="3">
        <v>8.4124444444444499</v>
      </c>
      <c r="G4" s="3">
        <v>0</v>
      </c>
      <c r="H4" s="3">
        <v>0</v>
      </c>
      <c r="I4" s="3">
        <v>0</v>
      </c>
      <c r="J4" s="3">
        <v>0</v>
      </c>
      <c r="K4" s="3">
        <v>0</v>
      </c>
      <c r="L4" s="3">
        <v>5.429555555555555</v>
      </c>
      <c r="M4" s="3">
        <v>0</v>
      </c>
      <c r="N4" s="3">
        <v>11.830555555555556</v>
      </c>
      <c r="O4" s="3">
        <f>SUM(Table2[[#This Row],[Qualified Social Work Staff Hours]:[Other Social Work Staff Hours]])/Table2[[#This Row],[MDS Census]]</f>
        <v>0.13433636134241736</v>
      </c>
      <c r="P4" s="3">
        <v>5.5111111111111111</v>
      </c>
      <c r="Q4" s="3">
        <v>6.5611111111111109</v>
      </c>
      <c r="R4" s="3">
        <f>SUM(Table2[[#This Row],[Qualified Activities Professional Hours]:[Other Activities Professional Hours]])/Table2[[#This Row],[MDS Census]]</f>
        <v>0.13708049457481708</v>
      </c>
      <c r="S4" s="3">
        <v>9.491333333333337</v>
      </c>
      <c r="T4" s="3">
        <v>6.0465555555555559</v>
      </c>
      <c r="U4" s="3">
        <v>0</v>
      </c>
      <c r="V4" s="3">
        <f>SUM(Table2[[#This Row],[Occupational Therapist Hours]:[OT Aide Hours]])/Table2[[#This Row],[MDS Census]]</f>
        <v>0.1764332576331063</v>
      </c>
      <c r="W4" s="3">
        <v>6.0026666666666628</v>
      </c>
      <c r="X4" s="3">
        <v>8.8204444444444494</v>
      </c>
      <c r="Y4" s="3">
        <v>0</v>
      </c>
      <c r="Z4" s="3">
        <f>SUM(Table2[[#This Row],[Physical Therapist (PT) Hours]:[PT Aide Hours]])/Table2[[#This Row],[MDS Census]]</f>
        <v>0.16831693161746153</v>
      </c>
      <c r="AA4" s="3">
        <v>0</v>
      </c>
      <c r="AB4" s="3">
        <v>0</v>
      </c>
      <c r="AC4" s="3">
        <v>0</v>
      </c>
      <c r="AD4" s="3">
        <v>0</v>
      </c>
      <c r="AE4" s="3">
        <v>0</v>
      </c>
      <c r="AF4" s="3">
        <v>0</v>
      </c>
      <c r="AG4" s="3">
        <v>0</v>
      </c>
      <c r="AH4" s="1" t="s">
        <v>2</v>
      </c>
      <c r="AI4" s="17">
        <v>9</v>
      </c>
      <c r="AJ4" s="1"/>
    </row>
    <row r="5" spans="1:36" x14ac:dyDescent="0.2">
      <c r="A5" s="1" t="s">
        <v>41</v>
      </c>
      <c r="B5" s="1" t="s">
        <v>45</v>
      </c>
      <c r="C5" s="1" t="s">
        <v>86</v>
      </c>
      <c r="D5" s="1" t="s">
        <v>102</v>
      </c>
      <c r="E5" s="3">
        <v>197.56666666666666</v>
      </c>
      <c r="F5" s="3">
        <v>5.6</v>
      </c>
      <c r="G5" s="3">
        <v>0.54166666666666663</v>
      </c>
      <c r="H5" s="3">
        <v>0.44444444444444442</v>
      </c>
      <c r="I5" s="3">
        <v>18.327777777777779</v>
      </c>
      <c r="J5" s="3">
        <v>0</v>
      </c>
      <c r="K5" s="3">
        <v>5.7111111111111112</v>
      </c>
      <c r="L5" s="3">
        <v>4.7622222222222224</v>
      </c>
      <c r="M5" s="3">
        <v>5.333333333333333</v>
      </c>
      <c r="N5" s="3">
        <v>20.202777777777779</v>
      </c>
      <c r="O5" s="3">
        <f>SUM(Table2[[#This Row],[Qualified Social Work Staff Hours]:[Other Social Work Staff Hours]])/Table2[[#This Row],[MDS Census]]</f>
        <v>0.12925313536921434</v>
      </c>
      <c r="P5" s="3">
        <v>15.902777777777779</v>
      </c>
      <c r="Q5" s="3">
        <v>34.700000000000003</v>
      </c>
      <c r="R5" s="3">
        <f>SUM(Table2[[#This Row],[Qualified Activities Professional Hours]:[Other Activities Professional Hours]])/Table2[[#This Row],[MDS Census]]</f>
        <v>0.25613013891232217</v>
      </c>
      <c r="S5" s="3">
        <v>4.3772222222222243</v>
      </c>
      <c r="T5" s="3">
        <v>16.856444444444449</v>
      </c>
      <c r="U5" s="3">
        <v>0</v>
      </c>
      <c r="V5" s="3">
        <f>SUM(Table2[[#This Row],[Occupational Therapist Hours]:[OT Aide Hours]])/Table2[[#This Row],[MDS Census]]</f>
        <v>0.10747595748270629</v>
      </c>
      <c r="W5" s="3">
        <v>5.4267777777777795</v>
      </c>
      <c r="X5" s="3">
        <v>15.242111111111111</v>
      </c>
      <c r="Y5" s="3">
        <v>0</v>
      </c>
      <c r="Z5" s="3">
        <f>SUM(Table2[[#This Row],[Physical Therapist (PT) Hours]:[PT Aide Hours]])/Table2[[#This Row],[MDS Census]]</f>
        <v>0.10461728811652889</v>
      </c>
      <c r="AA5" s="3">
        <v>0</v>
      </c>
      <c r="AB5" s="3">
        <v>0</v>
      </c>
      <c r="AC5" s="3">
        <v>0</v>
      </c>
      <c r="AD5" s="3">
        <v>0</v>
      </c>
      <c r="AE5" s="3">
        <v>0</v>
      </c>
      <c r="AF5" s="3">
        <v>0</v>
      </c>
      <c r="AG5" s="3">
        <v>0</v>
      </c>
      <c r="AH5" s="1" t="s">
        <v>3</v>
      </c>
      <c r="AI5" s="17">
        <v>9</v>
      </c>
      <c r="AJ5" s="1"/>
    </row>
    <row r="6" spans="1:36" x14ac:dyDescent="0.2">
      <c r="A6" s="1" t="s">
        <v>41</v>
      </c>
      <c r="B6" s="1" t="s">
        <v>46</v>
      </c>
      <c r="C6" s="1" t="s">
        <v>87</v>
      </c>
      <c r="D6" s="1" t="s">
        <v>104</v>
      </c>
      <c r="E6" s="3">
        <v>83.5</v>
      </c>
      <c r="F6" s="3">
        <v>10.222222222222221</v>
      </c>
      <c r="G6" s="3">
        <v>0.91111111111111109</v>
      </c>
      <c r="H6" s="3">
        <v>0.66388888888888886</v>
      </c>
      <c r="I6" s="3">
        <v>5.8800000000000008</v>
      </c>
      <c r="J6" s="3">
        <v>0</v>
      </c>
      <c r="K6" s="3">
        <v>0</v>
      </c>
      <c r="L6" s="3">
        <v>0</v>
      </c>
      <c r="M6" s="3">
        <v>14</v>
      </c>
      <c r="N6" s="3">
        <v>0</v>
      </c>
      <c r="O6" s="3">
        <f>SUM(Table2[[#This Row],[Qualified Social Work Staff Hours]:[Other Social Work Staff Hours]])/Table2[[#This Row],[MDS Census]]</f>
        <v>0.16766467065868262</v>
      </c>
      <c r="P6" s="3">
        <v>12.478888888888887</v>
      </c>
      <c r="Q6" s="3">
        <v>45.27000000000001</v>
      </c>
      <c r="R6" s="3">
        <f>SUM(Table2[[#This Row],[Qualified Activities Professional Hours]:[Other Activities Professional Hours]])/Table2[[#This Row],[MDS Census]]</f>
        <v>0.69160345974717241</v>
      </c>
      <c r="S6" s="3">
        <v>4.9622222222222225</v>
      </c>
      <c r="T6" s="3">
        <v>5.8811111111111103</v>
      </c>
      <c r="U6" s="3">
        <v>5.0111111111111111</v>
      </c>
      <c r="V6" s="3">
        <f>SUM(Table2[[#This Row],[Occupational Therapist Hours]:[OT Aide Hours]])/Table2[[#This Row],[MDS Census]]</f>
        <v>0.18987358616101133</v>
      </c>
      <c r="W6" s="3">
        <v>5.0622222222222222</v>
      </c>
      <c r="X6" s="3">
        <v>9.4277777777777771</v>
      </c>
      <c r="Y6" s="3">
        <v>4.9777777777777779</v>
      </c>
      <c r="Z6" s="3">
        <f>SUM(Table2[[#This Row],[Physical Therapist (PT) Hours]:[PT Aide Hours]])/Table2[[#This Row],[MDS Census]]</f>
        <v>0.23314703925482366</v>
      </c>
      <c r="AA6" s="3">
        <v>0</v>
      </c>
      <c r="AB6" s="3">
        <v>0</v>
      </c>
      <c r="AC6" s="3">
        <v>0</v>
      </c>
      <c r="AD6" s="3">
        <v>0</v>
      </c>
      <c r="AE6" s="3">
        <v>0</v>
      </c>
      <c r="AF6" s="3">
        <v>0</v>
      </c>
      <c r="AG6" s="3">
        <v>2.4933333333333332</v>
      </c>
      <c r="AH6" s="1" t="s">
        <v>4</v>
      </c>
      <c r="AI6" s="17">
        <v>9</v>
      </c>
      <c r="AJ6" s="1"/>
    </row>
    <row r="7" spans="1:36" x14ac:dyDescent="0.2">
      <c r="A7" s="1" t="s">
        <v>41</v>
      </c>
      <c r="B7" s="1" t="s">
        <v>47</v>
      </c>
      <c r="C7" s="1" t="s">
        <v>87</v>
      </c>
      <c r="D7" s="1" t="s">
        <v>104</v>
      </c>
      <c r="E7" s="3">
        <v>93.088888888888889</v>
      </c>
      <c r="F7" s="3">
        <v>5.1555555555555559</v>
      </c>
      <c r="G7" s="3">
        <v>3.0222222222222221</v>
      </c>
      <c r="H7" s="3">
        <v>0.65</v>
      </c>
      <c r="I7" s="3">
        <v>5.1555555555555559</v>
      </c>
      <c r="J7" s="3">
        <v>0</v>
      </c>
      <c r="K7" s="3">
        <v>0</v>
      </c>
      <c r="L7" s="3">
        <v>0</v>
      </c>
      <c r="M7" s="3">
        <v>12.342222222222222</v>
      </c>
      <c r="N7" s="3">
        <v>0</v>
      </c>
      <c r="O7" s="3">
        <f>SUM(Table2[[#This Row],[Qualified Social Work Staff Hours]:[Other Social Work Staff Hours]])/Table2[[#This Row],[MDS Census]]</f>
        <v>0.13258534256385773</v>
      </c>
      <c r="P7" s="3">
        <v>5</v>
      </c>
      <c r="Q7" s="3">
        <v>46.713333333333338</v>
      </c>
      <c r="R7" s="3">
        <f>SUM(Table2[[#This Row],[Qualified Activities Professional Hours]:[Other Activities Professional Hours]])/Table2[[#This Row],[MDS Census]]</f>
        <v>0.55552637861064702</v>
      </c>
      <c r="S7" s="3">
        <v>5.3277777777777775</v>
      </c>
      <c r="T7" s="3">
        <v>5.2388888888888889</v>
      </c>
      <c r="U7" s="3">
        <v>0</v>
      </c>
      <c r="V7" s="3">
        <f>SUM(Table2[[#This Row],[Occupational Therapist Hours]:[OT Aide Hours]])/Table2[[#This Row],[MDS Census]]</f>
        <v>0.11351157794222964</v>
      </c>
      <c r="W7" s="3">
        <v>4.8966666666666674</v>
      </c>
      <c r="X7" s="3">
        <v>10.166666666666666</v>
      </c>
      <c r="Y7" s="3">
        <v>2.5777777777777779</v>
      </c>
      <c r="Z7" s="3">
        <f>SUM(Table2[[#This Row],[Physical Therapist (PT) Hours]:[PT Aide Hours]])/Table2[[#This Row],[MDS Census]]</f>
        <v>0.18950823585581286</v>
      </c>
      <c r="AA7" s="3">
        <v>0</v>
      </c>
      <c r="AB7" s="3">
        <v>0</v>
      </c>
      <c r="AC7" s="3">
        <v>0</v>
      </c>
      <c r="AD7" s="3">
        <v>0</v>
      </c>
      <c r="AE7" s="3">
        <v>0</v>
      </c>
      <c r="AF7" s="3">
        <v>0</v>
      </c>
      <c r="AG7" s="3">
        <v>9.4444444444444442E-2</v>
      </c>
      <c r="AH7" s="1" t="s">
        <v>5</v>
      </c>
      <c r="AI7" s="17">
        <v>9</v>
      </c>
      <c r="AJ7" s="1"/>
    </row>
    <row r="8" spans="1:36" x14ac:dyDescent="0.2">
      <c r="A8" s="1" t="s">
        <v>41</v>
      </c>
      <c r="B8" s="1" t="s">
        <v>48</v>
      </c>
      <c r="C8" s="1" t="s">
        <v>87</v>
      </c>
      <c r="D8" s="1" t="s">
        <v>104</v>
      </c>
      <c r="E8" s="3">
        <v>233.45555555555555</v>
      </c>
      <c r="F8" s="3">
        <v>63.394777777777755</v>
      </c>
      <c r="G8" s="3">
        <v>0</v>
      </c>
      <c r="H8" s="3">
        <v>1.375</v>
      </c>
      <c r="I8" s="3">
        <v>18.163888888888895</v>
      </c>
      <c r="J8" s="3">
        <v>0</v>
      </c>
      <c r="K8" s="3">
        <v>0</v>
      </c>
      <c r="L8" s="3">
        <v>9.7043333333333326</v>
      </c>
      <c r="M8" s="3">
        <v>5.2444444444444445</v>
      </c>
      <c r="N8" s="3">
        <v>22.037000000000006</v>
      </c>
      <c r="O8" s="3">
        <f>SUM(Table2[[#This Row],[Qualified Social Work Staff Hours]:[Other Social Work Staff Hours]])/Table2[[#This Row],[MDS Census]]</f>
        <v>0.11685926419494554</v>
      </c>
      <c r="P8" s="3">
        <v>8.452</v>
      </c>
      <c r="Q8" s="3">
        <v>30.151222222222238</v>
      </c>
      <c r="R8" s="3">
        <f>SUM(Table2[[#This Row],[Qualified Activities Professional Hours]:[Other Activities Professional Hours]])/Table2[[#This Row],[MDS Census]]</f>
        <v>0.16535576602731908</v>
      </c>
      <c r="S8" s="3">
        <v>21.341222222222221</v>
      </c>
      <c r="T8" s="3">
        <v>27.123666666666669</v>
      </c>
      <c r="U8" s="3">
        <v>0</v>
      </c>
      <c r="V8" s="3">
        <f>SUM(Table2[[#This Row],[Occupational Therapist Hours]:[OT Aide Hours]])/Table2[[#This Row],[MDS Census]]</f>
        <v>0.20759792489648282</v>
      </c>
      <c r="W8" s="3">
        <v>17.791444444444444</v>
      </c>
      <c r="X8" s="3">
        <v>34.922888888888899</v>
      </c>
      <c r="Y8" s="3">
        <v>0</v>
      </c>
      <c r="Z8" s="3">
        <f>SUM(Table2[[#This Row],[Physical Therapist (PT) Hours]:[PT Aide Hours]])/Table2[[#This Row],[MDS Census]]</f>
        <v>0.22580029508352772</v>
      </c>
      <c r="AA8" s="3">
        <v>0</v>
      </c>
      <c r="AB8" s="3">
        <v>0</v>
      </c>
      <c r="AC8" s="3">
        <v>0</v>
      </c>
      <c r="AD8" s="3">
        <v>0</v>
      </c>
      <c r="AE8" s="3">
        <v>0</v>
      </c>
      <c r="AF8" s="3">
        <v>0</v>
      </c>
      <c r="AG8" s="3">
        <v>0</v>
      </c>
      <c r="AH8" s="1" t="s">
        <v>6</v>
      </c>
      <c r="AI8" s="17">
        <v>9</v>
      </c>
      <c r="AJ8" s="1"/>
    </row>
    <row r="9" spans="1:36" x14ac:dyDescent="0.2">
      <c r="A9" s="1" t="s">
        <v>41</v>
      </c>
      <c r="B9" s="1" t="s">
        <v>49</v>
      </c>
      <c r="C9" s="1" t="s">
        <v>87</v>
      </c>
      <c r="D9" s="1" t="s">
        <v>104</v>
      </c>
      <c r="E9" s="3">
        <v>87.144444444444446</v>
      </c>
      <c r="F9" s="3">
        <v>5.5111111111111111</v>
      </c>
      <c r="G9" s="3">
        <v>0.31111111111111112</v>
      </c>
      <c r="H9" s="3">
        <v>0</v>
      </c>
      <c r="I9" s="3">
        <v>5.5111111111111111</v>
      </c>
      <c r="J9" s="3">
        <v>0</v>
      </c>
      <c r="K9" s="3">
        <v>0</v>
      </c>
      <c r="L9" s="3">
        <v>4.5547777777777778</v>
      </c>
      <c r="M9" s="3">
        <v>0</v>
      </c>
      <c r="N9" s="3">
        <v>15.275</v>
      </c>
      <c r="O9" s="3">
        <f>SUM(Table2[[#This Row],[Qualified Social Work Staff Hours]:[Other Social Work Staff Hours]])/Table2[[#This Row],[MDS Census]]</f>
        <v>0.17528369246461814</v>
      </c>
      <c r="P9" s="3">
        <v>5.4222222222222225</v>
      </c>
      <c r="Q9" s="3">
        <v>31.183333333333334</v>
      </c>
      <c r="R9" s="3">
        <f>SUM(Table2[[#This Row],[Qualified Activities Professional Hours]:[Other Activities Professional Hours]])/Table2[[#This Row],[MDS Census]]</f>
        <v>0.42005610098176716</v>
      </c>
      <c r="S9" s="3">
        <v>5.644222222222222</v>
      </c>
      <c r="T9" s="3">
        <v>6.2545555555555552</v>
      </c>
      <c r="U9" s="3">
        <v>0</v>
      </c>
      <c r="V9" s="3">
        <f>SUM(Table2[[#This Row],[Occupational Therapist Hours]:[OT Aide Hours]])/Table2[[#This Row],[MDS Census]]</f>
        <v>0.13654086446512814</v>
      </c>
      <c r="W9" s="3">
        <v>6.1761111111111102</v>
      </c>
      <c r="X9" s="3">
        <v>8.745000000000001</v>
      </c>
      <c r="Y9" s="3">
        <v>0</v>
      </c>
      <c r="Z9" s="3">
        <f>SUM(Table2[[#This Row],[Physical Therapist (PT) Hours]:[PT Aide Hours]])/Table2[[#This Row],[MDS Census]]</f>
        <v>0.17122274639806195</v>
      </c>
      <c r="AA9" s="3">
        <v>0</v>
      </c>
      <c r="AB9" s="3">
        <v>0</v>
      </c>
      <c r="AC9" s="3">
        <v>0</v>
      </c>
      <c r="AD9" s="3">
        <v>0</v>
      </c>
      <c r="AE9" s="3">
        <v>0</v>
      </c>
      <c r="AF9" s="3">
        <v>0</v>
      </c>
      <c r="AG9" s="3">
        <v>0</v>
      </c>
      <c r="AH9" s="1" t="s">
        <v>7</v>
      </c>
      <c r="AI9" s="17">
        <v>9</v>
      </c>
      <c r="AJ9" s="1"/>
    </row>
    <row r="10" spans="1:36" x14ac:dyDescent="0.2">
      <c r="A10" s="1" t="s">
        <v>41</v>
      </c>
      <c r="B10" s="1" t="s">
        <v>50</v>
      </c>
      <c r="C10" s="1" t="s">
        <v>87</v>
      </c>
      <c r="D10" s="1" t="s">
        <v>104</v>
      </c>
      <c r="E10" s="3">
        <v>69.788888888888891</v>
      </c>
      <c r="F10" s="3">
        <v>5.083333333333333</v>
      </c>
      <c r="G10" s="3">
        <v>0.22733333333333333</v>
      </c>
      <c r="H10" s="3">
        <v>1.6833333333333333</v>
      </c>
      <c r="I10" s="3">
        <v>5.083333333333333</v>
      </c>
      <c r="J10" s="3">
        <v>0</v>
      </c>
      <c r="K10" s="3">
        <v>0</v>
      </c>
      <c r="L10" s="3">
        <v>1.3166666666666664</v>
      </c>
      <c r="M10" s="3">
        <v>10</v>
      </c>
      <c r="N10" s="3">
        <v>0</v>
      </c>
      <c r="O10" s="3">
        <f>SUM(Table2[[#This Row],[Qualified Social Work Staff Hours]:[Other Social Work Staff Hours]])/Table2[[#This Row],[MDS Census]]</f>
        <v>0.14328928514567743</v>
      </c>
      <c r="P10" s="3">
        <v>5.083333333333333</v>
      </c>
      <c r="Q10" s="3">
        <v>16.550666666666665</v>
      </c>
      <c r="R10" s="3">
        <f>SUM(Table2[[#This Row],[Qualified Activities Professional Hours]:[Other Activities Professional Hours]])/Table2[[#This Row],[MDS Census]]</f>
        <v>0.30999203948415854</v>
      </c>
      <c r="S10" s="3">
        <v>4.7102222222222219</v>
      </c>
      <c r="T10" s="3">
        <v>0</v>
      </c>
      <c r="U10" s="3">
        <v>0</v>
      </c>
      <c r="V10" s="3">
        <f>SUM(Table2[[#This Row],[Occupational Therapist Hours]:[OT Aide Hours]])/Table2[[#This Row],[MDS Census]]</f>
        <v>6.749243750995064E-2</v>
      </c>
      <c r="W10" s="3">
        <v>3.267555555555556</v>
      </c>
      <c r="X10" s="3">
        <v>4.2456666666666667</v>
      </c>
      <c r="Y10" s="3">
        <v>0</v>
      </c>
      <c r="Z10" s="3">
        <f>SUM(Table2[[#This Row],[Physical Therapist (PT) Hours]:[PT Aide Hours]])/Table2[[#This Row],[MDS Census]]</f>
        <v>0.10765642413628404</v>
      </c>
      <c r="AA10" s="3">
        <v>0</v>
      </c>
      <c r="AB10" s="3">
        <v>0</v>
      </c>
      <c r="AC10" s="3">
        <v>0</v>
      </c>
      <c r="AD10" s="3">
        <v>0</v>
      </c>
      <c r="AE10" s="3">
        <v>0</v>
      </c>
      <c r="AF10" s="3">
        <v>0</v>
      </c>
      <c r="AG10" s="3">
        <v>0</v>
      </c>
      <c r="AH10" s="1" t="s">
        <v>8</v>
      </c>
      <c r="AI10" s="17">
        <v>9</v>
      </c>
      <c r="AJ10" s="1"/>
    </row>
    <row r="11" spans="1:36" x14ac:dyDescent="0.2">
      <c r="A11" s="1" t="s">
        <v>41</v>
      </c>
      <c r="B11" s="1" t="s">
        <v>51</v>
      </c>
      <c r="C11" s="1" t="s">
        <v>88</v>
      </c>
      <c r="D11" s="1" t="s">
        <v>104</v>
      </c>
      <c r="E11" s="3">
        <v>94.522222222222226</v>
      </c>
      <c r="F11" s="3">
        <v>5.333333333333333</v>
      </c>
      <c r="G11" s="3">
        <v>0</v>
      </c>
      <c r="H11" s="3">
        <v>8.3249999999999993</v>
      </c>
      <c r="I11" s="3">
        <v>2.0555555555555554</v>
      </c>
      <c r="J11" s="3">
        <v>0</v>
      </c>
      <c r="K11" s="3">
        <v>0</v>
      </c>
      <c r="L11" s="3">
        <v>0.86388888888888893</v>
      </c>
      <c r="M11" s="3">
        <v>17.880555555555556</v>
      </c>
      <c r="N11" s="3">
        <v>0</v>
      </c>
      <c r="O11" s="3">
        <f>SUM(Table2[[#This Row],[Qualified Social Work Staff Hours]:[Other Social Work Staff Hours]])/Table2[[#This Row],[MDS Census]]</f>
        <v>0.18916774421065005</v>
      </c>
      <c r="P11" s="3">
        <v>0</v>
      </c>
      <c r="Q11" s="3">
        <v>8.530555555555555</v>
      </c>
      <c r="R11" s="3">
        <f>SUM(Table2[[#This Row],[Qualified Activities Professional Hours]:[Other Activities Professional Hours]])/Table2[[#This Row],[MDS Census]]</f>
        <v>9.0249206535794047E-2</v>
      </c>
      <c r="S11" s="3">
        <v>4.552777777777778</v>
      </c>
      <c r="T11" s="3">
        <v>0.11388888888888889</v>
      </c>
      <c r="U11" s="3">
        <v>0</v>
      </c>
      <c r="V11" s="3">
        <f>SUM(Table2[[#This Row],[Occupational Therapist Hours]:[OT Aide Hours]])/Table2[[#This Row],[MDS Census]]</f>
        <v>4.9371106147878221E-2</v>
      </c>
      <c r="W11" s="3">
        <v>1.7611111111111111</v>
      </c>
      <c r="X11" s="3">
        <v>3.2888888888888888</v>
      </c>
      <c r="Y11" s="3">
        <v>0</v>
      </c>
      <c r="Z11" s="3">
        <f>SUM(Table2[[#This Row],[Physical Therapist (PT) Hours]:[PT Aide Hours]])/Table2[[#This Row],[MDS Census]]</f>
        <v>5.3426589867168209E-2</v>
      </c>
      <c r="AA11" s="3">
        <v>0</v>
      </c>
      <c r="AB11" s="3">
        <v>0</v>
      </c>
      <c r="AC11" s="3">
        <v>0</v>
      </c>
      <c r="AD11" s="3">
        <v>0</v>
      </c>
      <c r="AE11" s="3">
        <v>0</v>
      </c>
      <c r="AF11" s="3">
        <v>0</v>
      </c>
      <c r="AG11" s="3">
        <v>0</v>
      </c>
      <c r="AH11" s="1" t="s">
        <v>9</v>
      </c>
      <c r="AI11" s="17">
        <v>9</v>
      </c>
      <c r="AJ11" s="1"/>
    </row>
    <row r="12" spans="1:36" x14ac:dyDescent="0.2">
      <c r="A12" s="1" t="s">
        <v>41</v>
      </c>
      <c r="B12" s="1" t="s">
        <v>52</v>
      </c>
      <c r="C12" s="1" t="s">
        <v>87</v>
      </c>
      <c r="D12" s="1" t="s">
        <v>104</v>
      </c>
      <c r="E12" s="3">
        <v>148.4111111111111</v>
      </c>
      <c r="F12" s="3">
        <v>7.1111111111111107</v>
      </c>
      <c r="G12" s="3">
        <v>1.1222222222222222</v>
      </c>
      <c r="H12" s="3">
        <v>1.4255555555555557</v>
      </c>
      <c r="I12" s="3">
        <v>2.3588888888888881</v>
      </c>
      <c r="J12" s="3">
        <v>0</v>
      </c>
      <c r="K12" s="3">
        <v>0</v>
      </c>
      <c r="L12" s="3">
        <v>9.2744444444444429</v>
      </c>
      <c r="M12" s="3">
        <v>3.6055555555555556</v>
      </c>
      <c r="N12" s="3">
        <v>1.0111111111111111</v>
      </c>
      <c r="O12" s="3">
        <f>SUM(Table2[[#This Row],[Qualified Social Work Staff Hours]:[Other Social Work Staff Hours]])/Table2[[#This Row],[MDS Census]]</f>
        <v>3.1107284569888455E-2</v>
      </c>
      <c r="P12" s="3">
        <v>5.6888888888888891</v>
      </c>
      <c r="Q12" s="3">
        <v>28.723333333333336</v>
      </c>
      <c r="R12" s="3">
        <f>SUM(Table2[[#This Row],[Qualified Activities Professional Hours]:[Other Activities Professional Hours]])/Table2[[#This Row],[MDS Census]]</f>
        <v>0.23187092910084606</v>
      </c>
      <c r="S12" s="3">
        <v>14.211111111111107</v>
      </c>
      <c r="T12" s="3">
        <v>9.0544444444444441</v>
      </c>
      <c r="U12" s="3">
        <v>0</v>
      </c>
      <c r="V12" s="3">
        <f>SUM(Table2[[#This Row],[Occupational Therapist Hours]:[OT Aide Hours]])/Table2[[#This Row],[MDS Census]]</f>
        <v>0.15676424346784457</v>
      </c>
      <c r="W12" s="3">
        <v>9.0200000000000031</v>
      </c>
      <c r="X12" s="3">
        <v>13.022222222222222</v>
      </c>
      <c r="Y12" s="3">
        <v>0</v>
      </c>
      <c r="Z12" s="3">
        <f>SUM(Table2[[#This Row],[Physical Therapist (PT) Hours]:[PT Aide Hours]])/Table2[[#This Row],[MDS Census]]</f>
        <v>0.14852137456015577</v>
      </c>
      <c r="AA12" s="3">
        <v>0</v>
      </c>
      <c r="AB12" s="3">
        <v>0</v>
      </c>
      <c r="AC12" s="3">
        <v>0</v>
      </c>
      <c r="AD12" s="3">
        <v>0</v>
      </c>
      <c r="AE12" s="3">
        <v>0</v>
      </c>
      <c r="AF12" s="3">
        <v>84.227777777777746</v>
      </c>
      <c r="AG12" s="3">
        <v>0</v>
      </c>
      <c r="AH12" s="1" t="s">
        <v>10</v>
      </c>
      <c r="AI12" s="17">
        <v>9</v>
      </c>
      <c r="AJ12" s="1"/>
    </row>
    <row r="13" spans="1:36" x14ac:dyDescent="0.2">
      <c r="A13" s="1" t="s">
        <v>41</v>
      </c>
      <c r="B13" s="1" t="s">
        <v>53</v>
      </c>
      <c r="C13" s="1" t="s">
        <v>87</v>
      </c>
      <c r="D13" s="1" t="s">
        <v>104</v>
      </c>
      <c r="E13" s="3">
        <v>90.977777777777774</v>
      </c>
      <c r="F13" s="3">
        <v>30.811222222222213</v>
      </c>
      <c r="G13" s="3">
        <v>0</v>
      </c>
      <c r="H13" s="3">
        <v>0.53888888888888886</v>
      </c>
      <c r="I13" s="3">
        <v>5.3923333333333332</v>
      </c>
      <c r="J13" s="3">
        <v>0</v>
      </c>
      <c r="K13" s="3">
        <v>0</v>
      </c>
      <c r="L13" s="3">
        <v>5.6878888888888888</v>
      </c>
      <c r="M13" s="3">
        <v>3.9994444444444444</v>
      </c>
      <c r="N13" s="3">
        <v>7.5417777777777815</v>
      </c>
      <c r="O13" s="3">
        <f>SUM(Table2[[#This Row],[Qualified Social Work Staff Hours]:[Other Social Work Staff Hours]])/Table2[[#This Row],[MDS Census]]</f>
        <v>0.1268575964826576</v>
      </c>
      <c r="P13" s="3">
        <v>10.221777777777778</v>
      </c>
      <c r="Q13" s="3">
        <v>11.47055555555556</v>
      </c>
      <c r="R13" s="3">
        <f>SUM(Table2[[#This Row],[Qualified Activities Professional Hours]:[Other Activities Professional Hours]])/Table2[[#This Row],[MDS Census]]</f>
        <v>0.23843551538837329</v>
      </c>
      <c r="S13" s="3">
        <v>8.5322222222222237</v>
      </c>
      <c r="T13" s="3">
        <v>17.846999999999994</v>
      </c>
      <c r="U13" s="3">
        <v>0</v>
      </c>
      <c r="V13" s="3">
        <f>SUM(Table2[[#This Row],[Occupational Therapist Hours]:[OT Aide Hours]])/Table2[[#This Row],[MDS Census]]</f>
        <v>0.28995236932095747</v>
      </c>
      <c r="W13" s="3">
        <v>7.160111111111112</v>
      </c>
      <c r="X13" s="3">
        <v>17.534333333333336</v>
      </c>
      <c r="Y13" s="3">
        <v>0</v>
      </c>
      <c r="Z13" s="3">
        <f>SUM(Table2[[#This Row],[Physical Therapist (PT) Hours]:[PT Aide Hours]])/Table2[[#This Row],[MDS Census]]</f>
        <v>0.27143380556912561</v>
      </c>
      <c r="AA13" s="3">
        <v>0</v>
      </c>
      <c r="AB13" s="3">
        <v>0</v>
      </c>
      <c r="AC13" s="3">
        <v>0</v>
      </c>
      <c r="AD13" s="3">
        <v>0</v>
      </c>
      <c r="AE13" s="3">
        <v>0</v>
      </c>
      <c r="AF13" s="3">
        <v>0</v>
      </c>
      <c r="AG13" s="3">
        <v>0</v>
      </c>
      <c r="AH13" s="1" t="s">
        <v>11</v>
      </c>
      <c r="AI13" s="17">
        <v>9</v>
      </c>
      <c r="AJ13" s="1"/>
    </row>
    <row r="14" spans="1:36" x14ac:dyDescent="0.2">
      <c r="A14" s="1" t="s">
        <v>41</v>
      </c>
      <c r="B14" s="1" t="s">
        <v>54</v>
      </c>
      <c r="C14" s="1" t="s">
        <v>89</v>
      </c>
      <c r="D14" s="1" t="s">
        <v>103</v>
      </c>
      <c r="E14" s="3">
        <v>19.722222222222221</v>
      </c>
      <c r="F14" s="3">
        <v>0</v>
      </c>
      <c r="G14" s="3">
        <v>0</v>
      </c>
      <c r="H14" s="3">
        <v>0</v>
      </c>
      <c r="I14" s="3">
        <v>0</v>
      </c>
      <c r="J14" s="3">
        <v>0</v>
      </c>
      <c r="K14" s="3">
        <v>0</v>
      </c>
      <c r="L14" s="3">
        <v>0</v>
      </c>
      <c r="M14" s="3">
        <v>0</v>
      </c>
      <c r="N14" s="3">
        <v>0</v>
      </c>
      <c r="O14" s="3">
        <f>SUM(Table2[[#This Row],[Qualified Social Work Staff Hours]:[Other Social Work Staff Hours]])/Table2[[#This Row],[MDS Census]]</f>
        <v>0</v>
      </c>
      <c r="P14" s="3">
        <v>0</v>
      </c>
      <c r="Q14" s="3">
        <v>10.044444444444444</v>
      </c>
      <c r="R14" s="3">
        <f>SUM(Table2[[#This Row],[Qualified Activities Professional Hours]:[Other Activities Professional Hours]])/Table2[[#This Row],[MDS Census]]</f>
        <v>0.50929577464788733</v>
      </c>
      <c r="S14" s="3">
        <v>0</v>
      </c>
      <c r="T14" s="3">
        <v>0</v>
      </c>
      <c r="U14" s="3">
        <v>0</v>
      </c>
      <c r="V14" s="3">
        <f>SUM(Table2[[#This Row],[Occupational Therapist Hours]:[OT Aide Hours]])/Table2[[#This Row],[MDS Census]]</f>
        <v>0</v>
      </c>
      <c r="W14" s="3">
        <v>0</v>
      </c>
      <c r="X14" s="3">
        <v>0</v>
      </c>
      <c r="Y14" s="3">
        <v>0</v>
      </c>
      <c r="Z14" s="3">
        <f>SUM(Table2[[#This Row],[Physical Therapist (PT) Hours]:[PT Aide Hours]])/Table2[[#This Row],[MDS Census]]</f>
        <v>0</v>
      </c>
      <c r="AA14" s="3">
        <v>0</v>
      </c>
      <c r="AB14" s="3">
        <v>0</v>
      </c>
      <c r="AC14" s="3">
        <v>0</v>
      </c>
      <c r="AD14" s="3">
        <v>0</v>
      </c>
      <c r="AE14" s="3">
        <v>0</v>
      </c>
      <c r="AF14" s="3">
        <v>0</v>
      </c>
      <c r="AG14" s="3">
        <v>0</v>
      </c>
      <c r="AH14" s="1" t="s">
        <v>12</v>
      </c>
      <c r="AI14" s="17">
        <v>9</v>
      </c>
      <c r="AJ14" s="1"/>
    </row>
    <row r="15" spans="1:36" x14ac:dyDescent="0.2">
      <c r="A15" s="1" t="s">
        <v>41</v>
      </c>
      <c r="B15" s="1" t="s">
        <v>55</v>
      </c>
      <c r="C15" s="1" t="s">
        <v>87</v>
      </c>
      <c r="D15" s="1" t="s">
        <v>104</v>
      </c>
      <c r="E15" s="3">
        <v>67.388888888888886</v>
      </c>
      <c r="F15" s="3">
        <v>5.5111111111111111</v>
      </c>
      <c r="G15" s="3">
        <v>0</v>
      </c>
      <c r="H15" s="3">
        <v>0.60277777777777775</v>
      </c>
      <c r="I15" s="3">
        <v>0.15733333333333333</v>
      </c>
      <c r="J15" s="3">
        <v>0</v>
      </c>
      <c r="K15" s="3">
        <v>0</v>
      </c>
      <c r="L15" s="3">
        <v>1.4285555555555556</v>
      </c>
      <c r="M15" s="3">
        <v>0</v>
      </c>
      <c r="N15" s="3">
        <v>0</v>
      </c>
      <c r="O15" s="3">
        <f>SUM(Table2[[#This Row],[Qualified Social Work Staff Hours]:[Other Social Work Staff Hours]])/Table2[[#This Row],[MDS Census]]</f>
        <v>0</v>
      </c>
      <c r="P15" s="3">
        <v>0</v>
      </c>
      <c r="Q15" s="3">
        <v>17.102777777777778</v>
      </c>
      <c r="R15" s="3">
        <f>SUM(Table2[[#This Row],[Qualified Activities Professional Hours]:[Other Activities Professional Hours]])/Table2[[#This Row],[MDS Census]]</f>
        <v>0.25379225061830174</v>
      </c>
      <c r="S15" s="3">
        <v>1.2560000000000002</v>
      </c>
      <c r="T15" s="3">
        <v>2.3963333333333332</v>
      </c>
      <c r="U15" s="3">
        <v>0</v>
      </c>
      <c r="V15" s="3">
        <f>SUM(Table2[[#This Row],[Occupational Therapist Hours]:[OT Aide Hours]])/Table2[[#This Row],[MDS Census]]</f>
        <v>5.4197856553998357E-2</v>
      </c>
      <c r="W15" s="3">
        <v>5.2866666666666671</v>
      </c>
      <c r="X15" s="3">
        <v>1.0042222222222221</v>
      </c>
      <c r="Y15" s="3">
        <v>0</v>
      </c>
      <c r="Z15" s="3">
        <f>SUM(Table2[[#This Row],[Physical Therapist (PT) Hours]:[PT Aide Hours]])/Table2[[#This Row],[MDS Census]]</f>
        <v>9.335201978565541E-2</v>
      </c>
      <c r="AA15" s="3">
        <v>0</v>
      </c>
      <c r="AB15" s="3">
        <v>4.8305555555555557</v>
      </c>
      <c r="AC15" s="3">
        <v>0</v>
      </c>
      <c r="AD15" s="3">
        <v>0</v>
      </c>
      <c r="AE15" s="3">
        <v>0</v>
      </c>
      <c r="AF15" s="3">
        <v>0</v>
      </c>
      <c r="AG15" s="3">
        <v>0.28888888888888886</v>
      </c>
      <c r="AH15" s="1" t="s">
        <v>13</v>
      </c>
      <c r="AI15" s="17">
        <v>9</v>
      </c>
      <c r="AJ15" s="1"/>
    </row>
    <row r="16" spans="1:36" x14ac:dyDescent="0.2">
      <c r="A16" s="1" t="s">
        <v>41</v>
      </c>
      <c r="B16" s="1" t="s">
        <v>56</v>
      </c>
      <c r="C16" s="1" t="s">
        <v>87</v>
      </c>
      <c r="D16" s="1" t="s">
        <v>104</v>
      </c>
      <c r="E16" s="3">
        <v>140.75555555555556</v>
      </c>
      <c r="F16" s="3">
        <v>4.177777777777778</v>
      </c>
      <c r="G16" s="3">
        <v>0.26666666666666666</v>
      </c>
      <c r="H16" s="3">
        <v>1.2638888888888888</v>
      </c>
      <c r="I16" s="3">
        <v>5.0666666666666664</v>
      </c>
      <c r="J16" s="3">
        <v>0</v>
      </c>
      <c r="K16" s="3">
        <v>0</v>
      </c>
      <c r="L16" s="3">
        <v>4.961666666666666</v>
      </c>
      <c r="M16" s="3">
        <v>10.577777777777778</v>
      </c>
      <c r="N16" s="3">
        <v>5.333333333333333</v>
      </c>
      <c r="O16" s="3">
        <f>SUM(Table2[[#This Row],[Qualified Social Work Staff Hours]:[Other Social Work Staff Hours]])/Table2[[#This Row],[MDS Census]]</f>
        <v>0.11304073255446795</v>
      </c>
      <c r="P16" s="3">
        <v>28.141000000000005</v>
      </c>
      <c r="Q16" s="3">
        <v>0</v>
      </c>
      <c r="R16" s="3">
        <f>SUM(Table2[[#This Row],[Qualified Activities Professional Hours]:[Other Activities Professional Hours]])/Table2[[#This Row],[MDS Census]]</f>
        <v>0.19992816545626779</v>
      </c>
      <c r="S16" s="3">
        <v>5.5524444444444461</v>
      </c>
      <c r="T16" s="3">
        <v>10.526555555555554</v>
      </c>
      <c r="U16" s="3">
        <v>0</v>
      </c>
      <c r="V16" s="3">
        <f>SUM(Table2[[#This Row],[Occupational Therapist Hours]:[OT Aide Hours]])/Table2[[#This Row],[MDS Census]]</f>
        <v>0.1142335017366593</v>
      </c>
      <c r="W16" s="3">
        <v>5.4714444444444457</v>
      </c>
      <c r="X16" s="3">
        <v>10.221222222222224</v>
      </c>
      <c r="Y16" s="3">
        <v>0</v>
      </c>
      <c r="Z16" s="3">
        <f>SUM(Table2[[#This Row],[Physical Therapist (PT) Hours]:[PT Aide Hours]])/Table2[[#This Row],[MDS Census]]</f>
        <v>0.11148879065361543</v>
      </c>
      <c r="AA16" s="3">
        <v>0</v>
      </c>
      <c r="AB16" s="3">
        <v>0</v>
      </c>
      <c r="AC16" s="3">
        <v>0</v>
      </c>
      <c r="AD16" s="3">
        <v>0</v>
      </c>
      <c r="AE16" s="3">
        <v>0</v>
      </c>
      <c r="AF16" s="3">
        <v>0</v>
      </c>
      <c r="AG16" s="3">
        <v>0</v>
      </c>
      <c r="AH16" s="1" t="s">
        <v>14</v>
      </c>
      <c r="AI16" s="17">
        <v>9</v>
      </c>
      <c r="AJ16" s="1"/>
    </row>
    <row r="17" spans="1:36" x14ac:dyDescent="0.2">
      <c r="A17" s="1" t="s">
        <v>41</v>
      </c>
      <c r="B17" s="1" t="s">
        <v>57</v>
      </c>
      <c r="C17" s="1" t="s">
        <v>90</v>
      </c>
      <c r="D17" s="1" t="s">
        <v>103</v>
      </c>
      <c r="E17" s="3">
        <v>44.344444444444441</v>
      </c>
      <c r="F17" s="3">
        <v>0</v>
      </c>
      <c r="G17" s="3">
        <v>0</v>
      </c>
      <c r="H17" s="3">
        <v>0</v>
      </c>
      <c r="I17" s="3">
        <v>0</v>
      </c>
      <c r="J17" s="3">
        <v>0</v>
      </c>
      <c r="K17" s="3">
        <v>0.5477777777777777</v>
      </c>
      <c r="L17" s="3">
        <v>0</v>
      </c>
      <c r="M17" s="3">
        <v>3.9166666666666665</v>
      </c>
      <c r="N17" s="3">
        <v>0</v>
      </c>
      <c r="O17" s="3">
        <f>SUM(Table2[[#This Row],[Qualified Social Work Staff Hours]:[Other Social Work Staff Hours]])/Table2[[#This Row],[MDS Census]]</f>
        <v>8.8323728388874978E-2</v>
      </c>
      <c r="P17" s="3">
        <v>0</v>
      </c>
      <c r="Q17" s="3">
        <v>0</v>
      </c>
      <c r="R17" s="3">
        <f>SUM(Table2[[#This Row],[Qualified Activities Professional Hours]:[Other Activities Professional Hours]])/Table2[[#This Row],[MDS Census]]</f>
        <v>0</v>
      </c>
      <c r="S17" s="3">
        <v>0</v>
      </c>
      <c r="T17" s="3">
        <v>0</v>
      </c>
      <c r="U17" s="3">
        <v>0</v>
      </c>
      <c r="V17" s="3">
        <f>SUM(Table2[[#This Row],[Occupational Therapist Hours]:[OT Aide Hours]])/Table2[[#This Row],[MDS Census]]</f>
        <v>0</v>
      </c>
      <c r="W17" s="3">
        <v>0</v>
      </c>
      <c r="X17" s="3">
        <v>0</v>
      </c>
      <c r="Y17" s="3">
        <v>0</v>
      </c>
      <c r="Z17" s="3">
        <f>SUM(Table2[[#This Row],[Physical Therapist (PT) Hours]:[PT Aide Hours]])/Table2[[#This Row],[MDS Census]]</f>
        <v>0</v>
      </c>
      <c r="AA17" s="3">
        <v>0</v>
      </c>
      <c r="AB17" s="3">
        <v>0</v>
      </c>
      <c r="AC17" s="3">
        <v>0</v>
      </c>
      <c r="AD17" s="3">
        <v>0</v>
      </c>
      <c r="AE17" s="3">
        <v>0</v>
      </c>
      <c r="AF17" s="3">
        <v>0</v>
      </c>
      <c r="AG17" s="3">
        <v>0</v>
      </c>
      <c r="AH17" s="1" t="s">
        <v>15</v>
      </c>
      <c r="AI17" s="17">
        <v>9</v>
      </c>
      <c r="AJ17" s="1"/>
    </row>
    <row r="18" spans="1:36" x14ac:dyDescent="0.2">
      <c r="A18" s="1" t="s">
        <v>41</v>
      </c>
      <c r="B18" s="1" t="s">
        <v>58</v>
      </c>
      <c r="C18" s="1" t="s">
        <v>91</v>
      </c>
      <c r="D18" s="1" t="s">
        <v>101</v>
      </c>
      <c r="E18" s="3">
        <v>58.744444444444447</v>
      </c>
      <c r="F18" s="3">
        <v>0</v>
      </c>
      <c r="G18" s="3">
        <v>0</v>
      </c>
      <c r="H18" s="3">
        <v>0</v>
      </c>
      <c r="I18" s="3">
        <v>0</v>
      </c>
      <c r="J18" s="3">
        <v>0</v>
      </c>
      <c r="K18" s="3">
        <v>0</v>
      </c>
      <c r="L18" s="3">
        <v>0</v>
      </c>
      <c r="M18" s="3">
        <v>0</v>
      </c>
      <c r="N18" s="3">
        <v>0</v>
      </c>
      <c r="O18" s="3">
        <f>SUM(Table2[[#This Row],[Qualified Social Work Staff Hours]:[Other Social Work Staff Hours]])/Table2[[#This Row],[MDS Census]]</f>
        <v>0</v>
      </c>
      <c r="P18" s="3">
        <v>0</v>
      </c>
      <c r="Q18" s="3">
        <v>13.621333333333322</v>
      </c>
      <c r="R18" s="3">
        <f>SUM(Table2[[#This Row],[Qualified Activities Professional Hours]:[Other Activities Professional Hours]])/Table2[[#This Row],[MDS Census]]</f>
        <v>0.23187440892755795</v>
      </c>
      <c r="S18" s="3">
        <v>0</v>
      </c>
      <c r="T18" s="3">
        <v>0</v>
      </c>
      <c r="U18" s="3">
        <v>0</v>
      </c>
      <c r="V18" s="3">
        <f>SUM(Table2[[#This Row],[Occupational Therapist Hours]:[OT Aide Hours]])/Table2[[#This Row],[MDS Census]]</f>
        <v>0</v>
      </c>
      <c r="W18" s="3">
        <v>0</v>
      </c>
      <c r="X18" s="3">
        <v>0</v>
      </c>
      <c r="Y18" s="3">
        <v>0</v>
      </c>
      <c r="Z18" s="3">
        <f>SUM(Table2[[#This Row],[Physical Therapist (PT) Hours]:[PT Aide Hours]])/Table2[[#This Row],[MDS Census]]</f>
        <v>0</v>
      </c>
      <c r="AA18" s="3">
        <v>0</v>
      </c>
      <c r="AB18" s="3">
        <v>0</v>
      </c>
      <c r="AC18" s="3">
        <v>0</v>
      </c>
      <c r="AD18" s="3">
        <v>0</v>
      </c>
      <c r="AE18" s="3">
        <v>0</v>
      </c>
      <c r="AF18" s="3">
        <v>0</v>
      </c>
      <c r="AG18" s="3">
        <v>0</v>
      </c>
      <c r="AH18" s="1" t="s">
        <v>16</v>
      </c>
      <c r="AI18" s="17">
        <v>9</v>
      </c>
      <c r="AJ18" s="1"/>
    </row>
    <row r="19" spans="1:36" x14ac:dyDescent="0.2">
      <c r="A19" s="1" t="s">
        <v>41</v>
      </c>
      <c r="B19" s="1" t="s">
        <v>59</v>
      </c>
      <c r="C19" s="1" t="s">
        <v>92</v>
      </c>
      <c r="D19" s="1" t="s">
        <v>104</v>
      </c>
      <c r="E19" s="3">
        <v>34.055555555555557</v>
      </c>
      <c r="F19" s="3">
        <v>5.6</v>
      </c>
      <c r="G19" s="3">
        <v>1.6666666666666666E-2</v>
      </c>
      <c r="H19" s="3">
        <v>0.33333333333333331</v>
      </c>
      <c r="I19" s="3">
        <v>2.9159999999999999</v>
      </c>
      <c r="J19" s="3">
        <v>0</v>
      </c>
      <c r="K19" s="3">
        <v>0</v>
      </c>
      <c r="L19" s="3">
        <v>0.35944444444444446</v>
      </c>
      <c r="M19" s="3">
        <v>0</v>
      </c>
      <c r="N19" s="3">
        <v>5.5204444444444443</v>
      </c>
      <c r="O19" s="3">
        <f>SUM(Table2[[#This Row],[Qualified Social Work Staff Hours]:[Other Social Work Staff Hours]])/Table2[[#This Row],[MDS Census]]</f>
        <v>0.1621011419249592</v>
      </c>
      <c r="P19" s="3">
        <v>0</v>
      </c>
      <c r="Q19" s="3">
        <v>6.1188888888888897</v>
      </c>
      <c r="R19" s="3">
        <f>SUM(Table2[[#This Row],[Qualified Activities Professional Hours]:[Other Activities Professional Hours]])/Table2[[#This Row],[MDS Census]]</f>
        <v>0.17967373572593803</v>
      </c>
      <c r="S19" s="3">
        <v>6.2232222222222235</v>
      </c>
      <c r="T19" s="3">
        <v>0</v>
      </c>
      <c r="U19" s="3">
        <v>0</v>
      </c>
      <c r="V19" s="3">
        <f>SUM(Table2[[#This Row],[Occupational Therapist Hours]:[OT Aide Hours]])/Table2[[#This Row],[MDS Census]]</f>
        <v>0.18273735725938012</v>
      </c>
      <c r="W19" s="3">
        <v>4.6652222222222246</v>
      </c>
      <c r="X19" s="3">
        <v>0.23977777777777776</v>
      </c>
      <c r="Y19" s="3">
        <v>0</v>
      </c>
      <c r="Z19" s="3">
        <f>SUM(Table2[[#This Row],[Physical Therapist (PT) Hours]:[PT Aide Hours]])/Table2[[#This Row],[MDS Census]]</f>
        <v>0.14402936378466563</v>
      </c>
      <c r="AA19" s="3">
        <v>0</v>
      </c>
      <c r="AB19" s="3">
        <v>0</v>
      </c>
      <c r="AC19" s="3">
        <v>0</v>
      </c>
      <c r="AD19" s="3">
        <v>0</v>
      </c>
      <c r="AE19" s="3">
        <v>0</v>
      </c>
      <c r="AF19" s="3">
        <v>0</v>
      </c>
      <c r="AG19" s="3">
        <v>0</v>
      </c>
      <c r="AH19" s="1" t="s">
        <v>17</v>
      </c>
      <c r="AI19" s="17">
        <v>9</v>
      </c>
      <c r="AJ19" s="1"/>
    </row>
    <row r="20" spans="1:36" x14ac:dyDescent="0.2">
      <c r="A20" s="1" t="s">
        <v>41</v>
      </c>
      <c r="B20" s="1" t="s">
        <v>60</v>
      </c>
      <c r="C20" s="1" t="s">
        <v>92</v>
      </c>
      <c r="D20" s="1" t="s">
        <v>104</v>
      </c>
      <c r="E20" s="3">
        <v>105.65555555555555</v>
      </c>
      <c r="F20" s="3">
        <v>17.244444444444444</v>
      </c>
      <c r="G20" s="3">
        <v>0.25277777777777777</v>
      </c>
      <c r="H20" s="3">
        <v>0.97222222222222221</v>
      </c>
      <c r="I20" s="3">
        <v>2.3972222222222221</v>
      </c>
      <c r="J20" s="3">
        <v>0</v>
      </c>
      <c r="K20" s="3">
        <v>0</v>
      </c>
      <c r="L20" s="3">
        <v>5.4729999999999999</v>
      </c>
      <c r="M20" s="3">
        <v>15.022222222222222</v>
      </c>
      <c r="N20" s="3">
        <v>0</v>
      </c>
      <c r="O20" s="3">
        <f>SUM(Table2[[#This Row],[Qualified Social Work Staff Hours]:[Other Social Work Staff Hours]])/Table2[[#This Row],[MDS Census]]</f>
        <v>0.14218109159743403</v>
      </c>
      <c r="P20" s="3">
        <v>9.4326666666666679</v>
      </c>
      <c r="Q20" s="3">
        <v>19.839666666666666</v>
      </c>
      <c r="R20" s="3">
        <f>SUM(Table2[[#This Row],[Qualified Activities Professional Hours]:[Other Activities Professional Hours]])/Table2[[#This Row],[MDS Census]]</f>
        <v>0.27705436954464197</v>
      </c>
      <c r="S20" s="3">
        <v>4.6831111111111108</v>
      </c>
      <c r="T20" s="3">
        <v>6.6264444444444441</v>
      </c>
      <c r="U20" s="3">
        <v>0</v>
      </c>
      <c r="V20" s="3">
        <f>SUM(Table2[[#This Row],[Occupational Therapist Hours]:[OT Aide Hours]])/Table2[[#This Row],[MDS Census]]</f>
        <v>0.10704174992112735</v>
      </c>
      <c r="W20" s="3">
        <v>7.8122222222222195</v>
      </c>
      <c r="X20" s="3">
        <v>12.044888888888888</v>
      </c>
      <c r="Y20" s="3">
        <v>0</v>
      </c>
      <c r="Z20" s="3">
        <f>SUM(Table2[[#This Row],[Physical Therapist (PT) Hours]:[PT Aide Hours]])/Table2[[#This Row],[MDS Census]]</f>
        <v>0.18794194973183298</v>
      </c>
      <c r="AA20" s="3">
        <v>0</v>
      </c>
      <c r="AB20" s="3">
        <v>0</v>
      </c>
      <c r="AC20" s="3">
        <v>0</v>
      </c>
      <c r="AD20" s="3">
        <v>0</v>
      </c>
      <c r="AE20" s="3">
        <v>0</v>
      </c>
      <c r="AF20" s="3">
        <v>0</v>
      </c>
      <c r="AG20" s="3">
        <v>0</v>
      </c>
      <c r="AH20" s="1" t="s">
        <v>18</v>
      </c>
      <c r="AI20" s="17">
        <v>9</v>
      </c>
      <c r="AJ20" s="1"/>
    </row>
    <row r="21" spans="1:36" x14ac:dyDescent="0.2">
      <c r="A21" s="1" t="s">
        <v>41</v>
      </c>
      <c r="B21" s="1" t="s">
        <v>61</v>
      </c>
      <c r="C21" s="1" t="s">
        <v>83</v>
      </c>
      <c r="D21" s="1" t="s">
        <v>101</v>
      </c>
      <c r="E21" s="3">
        <v>200.3111111111111</v>
      </c>
      <c r="F21" s="3">
        <v>94.526666666666685</v>
      </c>
      <c r="G21" s="3">
        <v>0.31666666666666665</v>
      </c>
      <c r="H21" s="3">
        <v>1.0527777777777778</v>
      </c>
      <c r="I21" s="3">
        <v>4.8888888888888893</v>
      </c>
      <c r="J21" s="3">
        <v>0</v>
      </c>
      <c r="K21" s="3">
        <v>0</v>
      </c>
      <c r="L21" s="3">
        <v>9.1001111111111079</v>
      </c>
      <c r="M21" s="3">
        <v>21.822111111111109</v>
      </c>
      <c r="N21" s="3">
        <v>0</v>
      </c>
      <c r="O21" s="3">
        <f>SUM(Table2[[#This Row],[Qualified Social Work Staff Hours]:[Other Social Work Staff Hours]])/Table2[[#This Row],[MDS Census]]</f>
        <v>0.10894109163523408</v>
      </c>
      <c r="P21" s="3">
        <v>5.2312222222222209</v>
      </c>
      <c r="Q21" s="3">
        <v>31.381666666666661</v>
      </c>
      <c r="R21" s="3">
        <f>SUM(Table2[[#This Row],[Qualified Activities Professional Hours]:[Other Activities Professional Hours]])/Table2[[#This Row],[MDS Census]]</f>
        <v>0.18278011981362322</v>
      </c>
      <c r="S21" s="3">
        <v>19.708222222222226</v>
      </c>
      <c r="T21" s="3">
        <v>5.1366666666666667</v>
      </c>
      <c r="U21" s="3">
        <v>0</v>
      </c>
      <c r="V21" s="3">
        <f>SUM(Table2[[#This Row],[Occupational Therapist Hours]:[OT Aide Hours]])/Table2[[#This Row],[MDS Census]]</f>
        <v>0.12403150654537388</v>
      </c>
      <c r="W21" s="3">
        <v>17.151333333333341</v>
      </c>
      <c r="X21" s="3">
        <v>10.015888888888888</v>
      </c>
      <c r="Y21" s="3">
        <v>0.44255555555555559</v>
      </c>
      <c r="Z21" s="3">
        <f>SUM(Table2[[#This Row],[Physical Therapist (PT) Hours]:[PT Aide Hours]])/Table2[[#This Row],[MDS Census]]</f>
        <v>0.13783447969824719</v>
      </c>
      <c r="AA21" s="3">
        <v>0</v>
      </c>
      <c r="AB21" s="3">
        <v>0</v>
      </c>
      <c r="AC21" s="3">
        <v>0</v>
      </c>
      <c r="AD21" s="3">
        <v>0</v>
      </c>
      <c r="AE21" s="3">
        <v>0</v>
      </c>
      <c r="AF21" s="3">
        <v>0</v>
      </c>
      <c r="AG21" s="3">
        <v>0</v>
      </c>
      <c r="AH21" s="1" t="s">
        <v>19</v>
      </c>
      <c r="AI21" s="17">
        <v>9</v>
      </c>
      <c r="AJ21" s="1"/>
    </row>
    <row r="22" spans="1:36" x14ac:dyDescent="0.2">
      <c r="A22" s="1" t="s">
        <v>41</v>
      </c>
      <c r="B22" s="1" t="s">
        <v>62</v>
      </c>
      <c r="C22" s="1" t="s">
        <v>87</v>
      </c>
      <c r="D22" s="1" t="s">
        <v>104</v>
      </c>
      <c r="E22" s="3">
        <v>69.900000000000006</v>
      </c>
      <c r="F22" s="3">
        <v>5.3247777777777783</v>
      </c>
      <c r="G22" s="3">
        <v>0</v>
      </c>
      <c r="H22" s="3">
        <v>0</v>
      </c>
      <c r="I22" s="3">
        <v>0</v>
      </c>
      <c r="J22" s="3">
        <v>0</v>
      </c>
      <c r="K22" s="3">
        <v>0</v>
      </c>
      <c r="L22" s="3">
        <v>2.8624444444444443</v>
      </c>
      <c r="M22" s="3">
        <v>0</v>
      </c>
      <c r="N22" s="3">
        <v>0</v>
      </c>
      <c r="O22" s="3">
        <f>SUM(Table2[[#This Row],[Qualified Social Work Staff Hours]:[Other Social Work Staff Hours]])/Table2[[#This Row],[MDS Census]]</f>
        <v>0</v>
      </c>
      <c r="P22" s="3">
        <v>5.4777777777777779</v>
      </c>
      <c r="Q22" s="3">
        <v>5.4083333333333332</v>
      </c>
      <c r="R22" s="3">
        <f>SUM(Table2[[#This Row],[Qualified Activities Professional Hours]:[Other Activities Professional Hours]])/Table2[[#This Row],[MDS Census]]</f>
        <v>0.15573835638213318</v>
      </c>
      <c r="S22" s="3">
        <v>1.469111111111111</v>
      </c>
      <c r="T22" s="3">
        <v>4.0038888888888877</v>
      </c>
      <c r="U22" s="3">
        <v>0</v>
      </c>
      <c r="V22" s="3">
        <f>SUM(Table2[[#This Row],[Occupational Therapist Hours]:[OT Aide Hours]])/Table2[[#This Row],[MDS Census]]</f>
        <v>7.8297567954220298E-2</v>
      </c>
      <c r="W22" s="3">
        <v>5.5962222222222229</v>
      </c>
      <c r="X22" s="3">
        <v>5.7452222222222211</v>
      </c>
      <c r="Y22" s="3">
        <v>0</v>
      </c>
      <c r="Z22" s="3">
        <f>SUM(Table2[[#This Row],[Physical Therapist (PT) Hours]:[PT Aide Hours]])/Table2[[#This Row],[MDS Census]]</f>
        <v>0.16225242409791765</v>
      </c>
      <c r="AA22" s="3">
        <v>0</v>
      </c>
      <c r="AB22" s="3">
        <v>5.3833333333333337</v>
      </c>
      <c r="AC22" s="3">
        <v>0</v>
      </c>
      <c r="AD22" s="3">
        <v>0</v>
      </c>
      <c r="AE22" s="3">
        <v>0</v>
      </c>
      <c r="AF22" s="3">
        <v>0</v>
      </c>
      <c r="AG22" s="3">
        <v>0</v>
      </c>
      <c r="AH22" s="1" t="s">
        <v>20</v>
      </c>
      <c r="AI22" s="17">
        <v>9</v>
      </c>
      <c r="AJ22" s="1"/>
    </row>
    <row r="23" spans="1:36" x14ac:dyDescent="0.2">
      <c r="A23" s="1" t="s">
        <v>41</v>
      </c>
      <c r="B23" s="1" t="s">
        <v>63</v>
      </c>
      <c r="C23" s="1" t="s">
        <v>87</v>
      </c>
      <c r="D23" s="1" t="s">
        <v>104</v>
      </c>
      <c r="E23" s="3">
        <v>68.911111111111111</v>
      </c>
      <c r="F23" s="3">
        <v>4.333333333333333</v>
      </c>
      <c r="G23" s="3">
        <v>0.31111111111111112</v>
      </c>
      <c r="H23" s="3">
        <v>0.52500000000000002</v>
      </c>
      <c r="I23" s="3">
        <v>0.2361111111111111</v>
      </c>
      <c r="J23" s="3">
        <v>0</v>
      </c>
      <c r="K23" s="3">
        <v>0</v>
      </c>
      <c r="L23" s="3">
        <v>2.3322222222222218</v>
      </c>
      <c r="M23" s="3">
        <v>5.2</v>
      </c>
      <c r="N23" s="3">
        <v>0</v>
      </c>
      <c r="O23" s="3">
        <f>SUM(Table2[[#This Row],[Qualified Social Work Staff Hours]:[Other Social Work Staff Hours]])/Table2[[#This Row],[MDS Census]]</f>
        <v>7.545952918413415E-2</v>
      </c>
      <c r="P23" s="3">
        <v>5.0666666666666664</v>
      </c>
      <c r="Q23" s="3">
        <v>21.85</v>
      </c>
      <c r="R23" s="3">
        <f>SUM(Table2[[#This Row],[Qualified Activities Professional Hours]:[Other Activities Professional Hours]])/Table2[[#This Row],[MDS Census]]</f>
        <v>0.39059980651402776</v>
      </c>
      <c r="S23" s="3">
        <v>1.5755555555555556</v>
      </c>
      <c r="T23" s="3">
        <v>2.1734444444444443</v>
      </c>
      <c r="U23" s="3">
        <v>0</v>
      </c>
      <c r="V23" s="3">
        <f>SUM(Table2[[#This Row],[Occupational Therapist Hours]:[OT Aide Hours]])/Table2[[#This Row],[MDS Census]]</f>
        <v>5.4403418252176712E-2</v>
      </c>
      <c r="W23" s="3">
        <v>0.93233333333333335</v>
      </c>
      <c r="X23" s="3">
        <v>2.7470000000000003</v>
      </c>
      <c r="Y23" s="3">
        <v>0</v>
      </c>
      <c r="Z23" s="3">
        <f>SUM(Table2[[#This Row],[Physical Therapist (PT) Hours]:[PT Aide Hours]])/Table2[[#This Row],[MDS Census]]</f>
        <v>5.3392454047081588E-2</v>
      </c>
      <c r="AA23" s="3">
        <v>0</v>
      </c>
      <c r="AB23" s="3">
        <v>0</v>
      </c>
      <c r="AC23" s="3">
        <v>0</v>
      </c>
      <c r="AD23" s="3">
        <v>0</v>
      </c>
      <c r="AE23" s="3">
        <v>0</v>
      </c>
      <c r="AF23" s="3">
        <v>0</v>
      </c>
      <c r="AG23" s="3">
        <v>0</v>
      </c>
      <c r="AH23" s="1" t="s">
        <v>21</v>
      </c>
      <c r="AI23" s="17">
        <v>9</v>
      </c>
      <c r="AJ23" s="1"/>
    </row>
    <row r="24" spans="1:36" x14ac:dyDescent="0.2">
      <c r="A24" s="1" t="s">
        <v>41</v>
      </c>
      <c r="B24" s="1" t="s">
        <v>64</v>
      </c>
      <c r="C24" s="1" t="s">
        <v>93</v>
      </c>
      <c r="D24" s="1" t="s">
        <v>104</v>
      </c>
      <c r="E24" s="3">
        <v>75.888888888888886</v>
      </c>
      <c r="F24" s="3">
        <v>5.333333333333333</v>
      </c>
      <c r="G24" s="3">
        <v>0.41666666666666669</v>
      </c>
      <c r="H24" s="3">
        <v>0.41111111111111109</v>
      </c>
      <c r="I24" s="3">
        <v>0</v>
      </c>
      <c r="J24" s="3">
        <v>0</v>
      </c>
      <c r="K24" s="3">
        <v>0</v>
      </c>
      <c r="L24" s="3">
        <v>3.2950000000000008</v>
      </c>
      <c r="M24" s="3">
        <v>5.1833333333333336</v>
      </c>
      <c r="N24" s="3">
        <v>0</v>
      </c>
      <c r="O24" s="3">
        <f>SUM(Table2[[#This Row],[Qualified Social Work Staff Hours]:[Other Social Work Staff Hours]])/Table2[[#This Row],[MDS Census]]</f>
        <v>6.8301610541727675E-2</v>
      </c>
      <c r="P24" s="3">
        <v>0</v>
      </c>
      <c r="Q24" s="3">
        <v>30.752666666666663</v>
      </c>
      <c r="R24" s="3">
        <f>SUM(Table2[[#This Row],[Qualified Activities Professional Hours]:[Other Activities Professional Hours]])/Table2[[#This Row],[MDS Census]]</f>
        <v>0.40523279648609073</v>
      </c>
      <c r="S24" s="3">
        <v>2.1870000000000007</v>
      </c>
      <c r="T24" s="3">
        <v>4.9105555555555549</v>
      </c>
      <c r="U24" s="3">
        <v>0</v>
      </c>
      <c r="V24" s="3">
        <f>SUM(Table2[[#This Row],[Occupational Therapist Hours]:[OT Aide Hours]])/Table2[[#This Row],[MDS Census]]</f>
        <v>9.3525622254758412E-2</v>
      </c>
      <c r="W24" s="3">
        <v>4.3657777777777769</v>
      </c>
      <c r="X24" s="3">
        <v>3.8771111111111098</v>
      </c>
      <c r="Y24" s="3">
        <v>0</v>
      </c>
      <c r="Z24" s="3">
        <f>SUM(Table2[[#This Row],[Physical Therapist (PT) Hours]:[PT Aide Hours]])/Table2[[#This Row],[MDS Census]]</f>
        <v>0.1086178623718887</v>
      </c>
      <c r="AA24" s="3">
        <v>0</v>
      </c>
      <c r="AB24" s="3">
        <v>0</v>
      </c>
      <c r="AC24" s="3">
        <v>0</v>
      </c>
      <c r="AD24" s="3">
        <v>0</v>
      </c>
      <c r="AE24" s="3">
        <v>0</v>
      </c>
      <c r="AF24" s="3">
        <v>16.713888888888889</v>
      </c>
      <c r="AG24" s="3">
        <v>0</v>
      </c>
      <c r="AH24" s="1" t="s">
        <v>22</v>
      </c>
      <c r="AI24" s="17">
        <v>9</v>
      </c>
      <c r="AJ24" s="1"/>
    </row>
    <row r="25" spans="1:36" x14ac:dyDescent="0.2">
      <c r="A25" s="1" t="s">
        <v>41</v>
      </c>
      <c r="B25" s="1" t="s">
        <v>65</v>
      </c>
      <c r="C25" s="1" t="s">
        <v>83</v>
      </c>
      <c r="D25" s="1" t="s">
        <v>101</v>
      </c>
      <c r="E25" s="3">
        <v>105.04444444444445</v>
      </c>
      <c r="F25" s="3">
        <v>68.557999999999979</v>
      </c>
      <c r="G25" s="3">
        <v>0.31666666666666665</v>
      </c>
      <c r="H25" s="3">
        <v>0.47222222222222221</v>
      </c>
      <c r="I25" s="3">
        <v>5.6888888888888891</v>
      </c>
      <c r="J25" s="3">
        <v>0</v>
      </c>
      <c r="K25" s="3">
        <v>0</v>
      </c>
      <c r="L25" s="3">
        <v>5.314333333333332</v>
      </c>
      <c r="M25" s="3">
        <v>6.6306666666666683</v>
      </c>
      <c r="N25" s="3">
        <v>3.0963333333333334</v>
      </c>
      <c r="O25" s="3">
        <f>SUM(Table2[[#This Row],[Qualified Social Work Staff Hours]:[Other Social Work Staff Hours]])/Table2[[#This Row],[MDS Census]]</f>
        <v>9.259889993653482E-2</v>
      </c>
      <c r="P25" s="3">
        <v>4.5445555555555552</v>
      </c>
      <c r="Q25" s="3">
        <v>13.377333333333334</v>
      </c>
      <c r="R25" s="3">
        <f>SUM(Table2[[#This Row],[Qualified Activities Professional Hours]:[Other Activities Professional Hours]])/Table2[[#This Row],[MDS Census]]</f>
        <v>0.17061243917918342</v>
      </c>
      <c r="S25" s="3">
        <v>6.2532222222222229</v>
      </c>
      <c r="T25" s="3">
        <v>5.5931111111111118</v>
      </c>
      <c r="U25" s="3">
        <v>0</v>
      </c>
      <c r="V25" s="3">
        <f>SUM(Table2[[#This Row],[Occupational Therapist Hours]:[OT Aide Hours]])/Table2[[#This Row],[MDS Census]]</f>
        <v>0.11277448698963402</v>
      </c>
      <c r="W25" s="3">
        <v>11.867666666666663</v>
      </c>
      <c r="X25" s="3">
        <v>5.6</v>
      </c>
      <c r="Y25" s="3">
        <v>0</v>
      </c>
      <c r="Z25" s="3">
        <f>SUM(Table2[[#This Row],[Physical Therapist (PT) Hours]:[PT Aide Hours]])/Table2[[#This Row],[MDS Census]]</f>
        <v>0.16628834355828215</v>
      </c>
      <c r="AA25" s="3">
        <v>0</v>
      </c>
      <c r="AB25" s="3">
        <v>0</v>
      </c>
      <c r="AC25" s="3">
        <v>0</v>
      </c>
      <c r="AD25" s="3">
        <v>0</v>
      </c>
      <c r="AE25" s="3">
        <v>0</v>
      </c>
      <c r="AF25" s="3">
        <v>0</v>
      </c>
      <c r="AG25" s="3">
        <v>0</v>
      </c>
      <c r="AH25" s="1" t="s">
        <v>23</v>
      </c>
      <c r="AI25" s="17">
        <v>9</v>
      </c>
      <c r="AJ25" s="1"/>
    </row>
    <row r="26" spans="1:36" x14ac:dyDescent="0.2">
      <c r="A26" s="1" t="s">
        <v>41</v>
      </c>
      <c r="B26" s="1" t="s">
        <v>66</v>
      </c>
      <c r="C26" s="1" t="s">
        <v>94</v>
      </c>
      <c r="D26" s="1" t="s">
        <v>104</v>
      </c>
      <c r="E26" s="3">
        <v>69.655555555555551</v>
      </c>
      <c r="F26" s="3">
        <v>4.8888888888888893</v>
      </c>
      <c r="G26" s="3">
        <v>0</v>
      </c>
      <c r="H26" s="3">
        <v>0</v>
      </c>
      <c r="I26" s="3">
        <v>0</v>
      </c>
      <c r="J26" s="3">
        <v>0</v>
      </c>
      <c r="K26" s="3">
        <v>0</v>
      </c>
      <c r="L26" s="3">
        <v>1.0511111111111111</v>
      </c>
      <c r="M26" s="3">
        <v>5.0666666666666664</v>
      </c>
      <c r="N26" s="3">
        <v>4.3888888888888893</v>
      </c>
      <c r="O26" s="3">
        <f>SUM(Table2[[#This Row],[Qualified Social Work Staff Hours]:[Other Social Work Staff Hours]])/Table2[[#This Row],[MDS Census]]</f>
        <v>0.13574732812250759</v>
      </c>
      <c r="P26" s="3">
        <v>5.333333333333333</v>
      </c>
      <c r="Q26" s="3">
        <v>13.752777777777778</v>
      </c>
      <c r="R26" s="3">
        <f>SUM(Table2[[#This Row],[Qualified Activities Professional Hours]:[Other Activities Professional Hours]])/Table2[[#This Row],[MDS Census]]</f>
        <v>0.27400701866326371</v>
      </c>
      <c r="S26" s="3">
        <v>3.4937777777777765</v>
      </c>
      <c r="T26" s="3">
        <v>1.5696666666666665</v>
      </c>
      <c r="U26" s="3">
        <v>0</v>
      </c>
      <c r="V26" s="3">
        <f>SUM(Table2[[#This Row],[Occupational Therapist Hours]:[OT Aide Hours]])/Table2[[#This Row],[MDS Census]]</f>
        <v>7.2692614452065693E-2</v>
      </c>
      <c r="W26" s="3">
        <v>3.9544444444444462</v>
      </c>
      <c r="X26" s="3">
        <v>4.365444444444444</v>
      </c>
      <c r="Y26" s="3">
        <v>0</v>
      </c>
      <c r="Z26" s="3">
        <f>SUM(Table2[[#This Row],[Physical Therapist (PT) Hours]:[PT Aide Hours]])/Table2[[#This Row],[MDS Census]]</f>
        <v>0.11944329239113098</v>
      </c>
      <c r="AA26" s="3">
        <v>0</v>
      </c>
      <c r="AB26" s="3">
        <v>0</v>
      </c>
      <c r="AC26" s="3">
        <v>0</v>
      </c>
      <c r="AD26" s="3">
        <v>0</v>
      </c>
      <c r="AE26" s="3">
        <v>0</v>
      </c>
      <c r="AF26" s="3">
        <v>0</v>
      </c>
      <c r="AG26" s="3">
        <v>0</v>
      </c>
      <c r="AH26" s="1" t="s">
        <v>24</v>
      </c>
      <c r="AI26" s="17">
        <v>9</v>
      </c>
      <c r="AJ26" s="1"/>
    </row>
    <row r="27" spans="1:36" x14ac:dyDescent="0.2">
      <c r="A27" s="1" t="s">
        <v>41</v>
      </c>
      <c r="B27" s="1" t="s">
        <v>67</v>
      </c>
      <c r="C27" s="1" t="s">
        <v>87</v>
      </c>
      <c r="D27" s="1" t="s">
        <v>104</v>
      </c>
      <c r="E27" s="3">
        <v>26.866666666666667</v>
      </c>
      <c r="F27" s="3">
        <v>5.1555555555555559</v>
      </c>
      <c r="G27" s="3">
        <v>0</v>
      </c>
      <c r="H27" s="3">
        <v>0</v>
      </c>
      <c r="I27" s="3">
        <v>1.9127777777777779</v>
      </c>
      <c r="J27" s="3">
        <v>0</v>
      </c>
      <c r="K27" s="3">
        <v>0</v>
      </c>
      <c r="L27" s="3">
        <v>2.8034444444444446</v>
      </c>
      <c r="M27" s="3">
        <v>0</v>
      </c>
      <c r="N27" s="3">
        <v>5.5111111111111111</v>
      </c>
      <c r="O27" s="3">
        <f>SUM(Table2[[#This Row],[Qualified Social Work Staff Hours]:[Other Social Work Staff Hours]])/Table2[[#This Row],[MDS Census]]</f>
        <v>0.20512820512820512</v>
      </c>
      <c r="P27" s="3">
        <v>0</v>
      </c>
      <c r="Q27" s="3">
        <v>10.966666666666667</v>
      </c>
      <c r="R27" s="3">
        <f>SUM(Table2[[#This Row],[Qualified Activities Professional Hours]:[Other Activities Professional Hours]])/Table2[[#This Row],[MDS Census]]</f>
        <v>0.40818858560794047</v>
      </c>
      <c r="S27" s="3">
        <v>1.7756666666666667</v>
      </c>
      <c r="T27" s="3">
        <v>3.2111111111111104</v>
      </c>
      <c r="U27" s="3">
        <v>0</v>
      </c>
      <c r="V27" s="3">
        <f>SUM(Table2[[#This Row],[Occupational Therapist Hours]:[OT Aide Hours]])/Table2[[#This Row],[MDS Census]]</f>
        <v>0.18561207609594704</v>
      </c>
      <c r="W27" s="3">
        <v>5.4550000000000001</v>
      </c>
      <c r="X27" s="3">
        <v>4.5659999999999989</v>
      </c>
      <c r="Y27" s="3">
        <v>0</v>
      </c>
      <c r="Z27" s="3">
        <f>SUM(Table2[[#This Row],[Physical Therapist (PT) Hours]:[PT Aide Hours]])/Table2[[#This Row],[MDS Census]]</f>
        <v>0.3729900744416873</v>
      </c>
      <c r="AA27" s="3">
        <v>0</v>
      </c>
      <c r="AB27" s="3">
        <v>0</v>
      </c>
      <c r="AC27" s="3">
        <v>0</v>
      </c>
      <c r="AD27" s="3">
        <v>0</v>
      </c>
      <c r="AE27" s="3">
        <v>0</v>
      </c>
      <c r="AF27" s="3">
        <v>0</v>
      </c>
      <c r="AG27" s="3">
        <v>0</v>
      </c>
      <c r="AH27" s="1" t="s">
        <v>25</v>
      </c>
      <c r="AI27" s="17">
        <v>9</v>
      </c>
      <c r="AJ27" s="1"/>
    </row>
    <row r="28" spans="1:36" x14ac:dyDescent="0.2">
      <c r="A28" s="1" t="s">
        <v>41</v>
      </c>
      <c r="B28" s="1" t="s">
        <v>68</v>
      </c>
      <c r="C28" s="1" t="s">
        <v>92</v>
      </c>
      <c r="D28" s="1" t="s">
        <v>104</v>
      </c>
      <c r="E28" s="3">
        <v>62.2</v>
      </c>
      <c r="F28" s="3">
        <v>5.5111111111111111</v>
      </c>
      <c r="G28" s="3">
        <v>0</v>
      </c>
      <c r="H28" s="3">
        <v>0</v>
      </c>
      <c r="I28" s="3">
        <v>0</v>
      </c>
      <c r="J28" s="3">
        <v>0</v>
      </c>
      <c r="K28" s="3">
        <v>0</v>
      </c>
      <c r="L28" s="3">
        <v>2.1263333333333327</v>
      </c>
      <c r="M28" s="3">
        <v>5.0777777777777775</v>
      </c>
      <c r="N28" s="3">
        <v>1.5027777777777778</v>
      </c>
      <c r="O28" s="3">
        <f>SUM(Table2[[#This Row],[Qualified Social Work Staff Hours]:[Other Social Work Staff Hours]])/Table2[[#This Row],[MDS Census]]</f>
        <v>0.10579671311182565</v>
      </c>
      <c r="P28" s="3">
        <v>4.8722222222222218</v>
      </c>
      <c r="Q28" s="3">
        <v>10.95</v>
      </c>
      <c r="R28" s="3">
        <f>SUM(Table2[[#This Row],[Qualified Activities Professional Hours]:[Other Activities Professional Hours]])/Table2[[#This Row],[MDS Census]]</f>
        <v>0.25437656305823503</v>
      </c>
      <c r="S28" s="3">
        <v>3.3178888888888882</v>
      </c>
      <c r="T28" s="3">
        <v>2.8065555555555548</v>
      </c>
      <c r="U28" s="3">
        <v>0</v>
      </c>
      <c r="V28" s="3">
        <f>SUM(Table2[[#This Row],[Occupational Therapist Hours]:[OT Aide Hours]])/Table2[[#This Row],[MDS Census]]</f>
        <v>9.8463737048946023E-2</v>
      </c>
      <c r="W28" s="3">
        <v>5.3010000000000002</v>
      </c>
      <c r="X28" s="3">
        <v>0.59466666666666668</v>
      </c>
      <c r="Y28" s="3">
        <v>0</v>
      </c>
      <c r="Z28" s="3">
        <f>SUM(Table2[[#This Row],[Physical Therapist (PT) Hours]:[PT Aide Hours]])/Table2[[#This Row],[MDS Census]]</f>
        <v>9.4785637727759914E-2</v>
      </c>
      <c r="AA28" s="3">
        <v>0</v>
      </c>
      <c r="AB28" s="3">
        <v>0</v>
      </c>
      <c r="AC28" s="3">
        <v>0</v>
      </c>
      <c r="AD28" s="3">
        <v>0</v>
      </c>
      <c r="AE28" s="3">
        <v>0</v>
      </c>
      <c r="AF28" s="3">
        <v>0</v>
      </c>
      <c r="AG28" s="3">
        <v>0</v>
      </c>
      <c r="AH28" s="1" t="s">
        <v>26</v>
      </c>
      <c r="AI28" s="17">
        <v>9</v>
      </c>
      <c r="AJ28" s="1"/>
    </row>
    <row r="29" spans="1:36" x14ac:dyDescent="0.2">
      <c r="A29" s="1" t="s">
        <v>41</v>
      </c>
      <c r="B29" s="1" t="s">
        <v>69</v>
      </c>
      <c r="C29" s="1" t="s">
        <v>87</v>
      </c>
      <c r="D29" s="1" t="s">
        <v>104</v>
      </c>
      <c r="E29" s="3">
        <v>32.200000000000003</v>
      </c>
      <c r="F29" s="3">
        <v>22.844444444444445</v>
      </c>
      <c r="G29" s="3">
        <v>0.28888888888888886</v>
      </c>
      <c r="H29" s="3">
        <v>0.13333333333333333</v>
      </c>
      <c r="I29" s="3">
        <v>0.30555555555555558</v>
      </c>
      <c r="J29" s="3">
        <v>0</v>
      </c>
      <c r="K29" s="3">
        <v>0</v>
      </c>
      <c r="L29" s="3">
        <v>0.314</v>
      </c>
      <c r="M29" s="3">
        <v>6.1111111111111109E-2</v>
      </c>
      <c r="N29" s="3">
        <v>5.9416666666666664</v>
      </c>
      <c r="O29" s="3">
        <f>SUM(Table2[[#This Row],[Qualified Social Work Staff Hours]:[Other Social Work Staff Hours]])/Table2[[#This Row],[MDS Census]]</f>
        <v>0.18642167011732227</v>
      </c>
      <c r="P29" s="3">
        <v>4.458333333333333</v>
      </c>
      <c r="Q29" s="3">
        <v>3.6055555555555556</v>
      </c>
      <c r="R29" s="3">
        <f>SUM(Table2[[#This Row],[Qualified Activities Professional Hours]:[Other Activities Professional Hours]])/Table2[[#This Row],[MDS Census]]</f>
        <v>0.25043133195307105</v>
      </c>
      <c r="S29" s="3">
        <v>0.14733333333333334</v>
      </c>
      <c r="T29" s="3">
        <v>0.34911111111111115</v>
      </c>
      <c r="U29" s="3">
        <v>0</v>
      </c>
      <c r="V29" s="3">
        <f>SUM(Table2[[#This Row],[Occupational Therapist Hours]:[OT Aide Hours]])/Table2[[#This Row],[MDS Census]]</f>
        <v>1.5417529330572808E-2</v>
      </c>
      <c r="W29" s="3">
        <v>0</v>
      </c>
      <c r="X29" s="3">
        <v>0.26122222222222224</v>
      </c>
      <c r="Y29" s="3">
        <v>0</v>
      </c>
      <c r="Z29" s="3">
        <f>SUM(Table2[[#This Row],[Physical Therapist (PT) Hours]:[PT Aide Hours]])/Table2[[#This Row],[MDS Census]]</f>
        <v>8.1124913733609388E-3</v>
      </c>
      <c r="AA29" s="3">
        <v>0</v>
      </c>
      <c r="AB29" s="3">
        <v>0</v>
      </c>
      <c r="AC29" s="3">
        <v>0</v>
      </c>
      <c r="AD29" s="3">
        <v>0</v>
      </c>
      <c r="AE29" s="3">
        <v>0</v>
      </c>
      <c r="AF29" s="3">
        <v>0</v>
      </c>
      <c r="AG29" s="3">
        <v>0</v>
      </c>
      <c r="AH29" s="1" t="s">
        <v>27</v>
      </c>
      <c r="AI29" s="17">
        <v>9</v>
      </c>
      <c r="AJ29" s="1"/>
    </row>
    <row r="30" spans="1:36" x14ac:dyDescent="0.2">
      <c r="A30" s="1" t="s">
        <v>41</v>
      </c>
      <c r="B30" s="1" t="s">
        <v>70</v>
      </c>
      <c r="C30" s="1" t="s">
        <v>95</v>
      </c>
      <c r="D30" s="1" t="s">
        <v>104</v>
      </c>
      <c r="E30" s="3">
        <v>78.966666666666669</v>
      </c>
      <c r="F30" s="3">
        <v>65.503777777777785</v>
      </c>
      <c r="G30" s="3">
        <v>0.6333333333333333</v>
      </c>
      <c r="H30" s="3">
        <v>0.96111111111111114</v>
      </c>
      <c r="I30" s="3">
        <v>5.1571111111111101</v>
      </c>
      <c r="J30" s="3">
        <v>0</v>
      </c>
      <c r="K30" s="3">
        <v>0</v>
      </c>
      <c r="L30" s="3">
        <v>11.38211111111111</v>
      </c>
      <c r="M30" s="3">
        <v>9.9793333333333276</v>
      </c>
      <c r="N30" s="3">
        <v>0</v>
      </c>
      <c r="O30" s="3">
        <f>SUM(Table2[[#This Row],[Qualified Social Work Staff Hours]:[Other Social Work Staff Hours]])/Table2[[#This Row],[MDS Census]]</f>
        <v>0.1263739974672857</v>
      </c>
      <c r="P30" s="3">
        <v>4.8888888888888893</v>
      </c>
      <c r="Q30" s="3">
        <v>20.556111111111104</v>
      </c>
      <c r="R30" s="3">
        <f>SUM(Table2[[#This Row],[Qualified Activities Professional Hours]:[Other Activities Professional Hours]])/Table2[[#This Row],[MDS Census]]</f>
        <v>0.32222456732798638</v>
      </c>
      <c r="S30" s="3">
        <v>24.501888888888889</v>
      </c>
      <c r="T30" s="3">
        <v>4.9293333333333331</v>
      </c>
      <c r="U30" s="3">
        <v>0</v>
      </c>
      <c r="V30" s="3">
        <f>SUM(Table2[[#This Row],[Occupational Therapist Hours]:[OT Aide Hours]])/Table2[[#This Row],[MDS Census]]</f>
        <v>0.37270437596735612</v>
      </c>
      <c r="W30" s="3">
        <v>19.534444444444443</v>
      </c>
      <c r="X30" s="3">
        <v>6.0272222222222229</v>
      </c>
      <c r="Y30" s="3">
        <v>5.0287777777777798</v>
      </c>
      <c r="Z30" s="3">
        <f>SUM(Table2[[#This Row],[Physical Therapist (PT) Hours]:[PT Aide Hours]])/Table2[[#This Row],[MDS Census]]</f>
        <v>0.3873842690305333</v>
      </c>
      <c r="AA30" s="3">
        <v>0</v>
      </c>
      <c r="AB30" s="3">
        <v>0</v>
      </c>
      <c r="AC30" s="3">
        <v>0</v>
      </c>
      <c r="AD30" s="3">
        <v>0</v>
      </c>
      <c r="AE30" s="3">
        <v>0</v>
      </c>
      <c r="AF30" s="3">
        <v>0</v>
      </c>
      <c r="AG30" s="3">
        <v>0.3888888888888889</v>
      </c>
      <c r="AH30" s="1" t="s">
        <v>28</v>
      </c>
      <c r="AI30" s="17">
        <v>9</v>
      </c>
      <c r="AJ30" s="1"/>
    </row>
    <row r="31" spans="1:36" x14ac:dyDescent="0.2">
      <c r="A31" s="1" t="s">
        <v>41</v>
      </c>
      <c r="B31" s="1" t="s">
        <v>71</v>
      </c>
      <c r="C31" s="1" t="s">
        <v>96</v>
      </c>
      <c r="D31" s="1" t="s">
        <v>101</v>
      </c>
      <c r="E31" s="3">
        <v>70.766666666666666</v>
      </c>
      <c r="F31" s="3">
        <v>47.668999999999997</v>
      </c>
      <c r="G31" s="3">
        <v>0.31666666666666665</v>
      </c>
      <c r="H31" s="3">
        <v>0.41388888888888886</v>
      </c>
      <c r="I31" s="3">
        <v>5.5810000000000004</v>
      </c>
      <c r="J31" s="3">
        <v>0</v>
      </c>
      <c r="K31" s="3">
        <v>0</v>
      </c>
      <c r="L31" s="3">
        <v>5.4469999999999992</v>
      </c>
      <c r="M31" s="3">
        <v>4.7058888888888877</v>
      </c>
      <c r="N31" s="3">
        <v>2.4662222222222221</v>
      </c>
      <c r="O31" s="3">
        <f>SUM(Table2[[#This Row],[Qualified Social Work Staff Hours]:[Other Social Work Staff Hours]])/Table2[[#This Row],[MDS Census]]</f>
        <v>0.10134872036426439</v>
      </c>
      <c r="P31" s="3">
        <v>5.0422222222222226</v>
      </c>
      <c r="Q31" s="3">
        <v>13.419555555555556</v>
      </c>
      <c r="R31" s="3">
        <f>SUM(Table2[[#This Row],[Qualified Activities Professional Hours]:[Other Activities Professional Hours]])/Table2[[#This Row],[MDS Census]]</f>
        <v>0.26088239912074113</v>
      </c>
      <c r="S31" s="3">
        <v>13.353999999999994</v>
      </c>
      <c r="T31" s="3">
        <v>3.6298888888888907</v>
      </c>
      <c r="U31" s="3">
        <v>0</v>
      </c>
      <c r="V31" s="3">
        <f>SUM(Table2[[#This Row],[Occupational Therapist Hours]:[OT Aide Hours]])/Table2[[#This Row],[MDS Census]]</f>
        <v>0.23999842989480288</v>
      </c>
      <c r="W31" s="3">
        <v>8.0926666666666662</v>
      </c>
      <c r="X31" s="3">
        <v>6.7399999999999993</v>
      </c>
      <c r="Y31" s="3">
        <v>0</v>
      </c>
      <c r="Z31" s="3">
        <f>SUM(Table2[[#This Row],[Physical Therapist (PT) Hours]:[PT Aide Hours]])/Table2[[#This Row],[MDS Census]]</f>
        <v>0.20959962317475267</v>
      </c>
      <c r="AA31" s="3">
        <v>0</v>
      </c>
      <c r="AB31" s="3">
        <v>0</v>
      </c>
      <c r="AC31" s="3">
        <v>0</v>
      </c>
      <c r="AD31" s="3">
        <v>0</v>
      </c>
      <c r="AE31" s="3">
        <v>0</v>
      </c>
      <c r="AF31" s="3">
        <v>0</v>
      </c>
      <c r="AG31" s="3">
        <v>0</v>
      </c>
      <c r="AH31" s="1" t="s">
        <v>29</v>
      </c>
      <c r="AI31" s="17">
        <v>9</v>
      </c>
      <c r="AJ31" s="1"/>
    </row>
    <row r="32" spans="1:36" x14ac:dyDescent="0.2">
      <c r="A32" s="1" t="s">
        <v>41</v>
      </c>
      <c r="B32" s="1" t="s">
        <v>72</v>
      </c>
      <c r="C32" s="1" t="s">
        <v>87</v>
      </c>
      <c r="D32" s="1" t="s">
        <v>104</v>
      </c>
      <c r="E32" s="3">
        <v>12.466666666666667</v>
      </c>
      <c r="F32" s="3">
        <v>0.94577777777777683</v>
      </c>
      <c r="G32" s="3">
        <v>0.10111111111111111</v>
      </c>
      <c r="H32" s="3">
        <v>0.10111111111111111</v>
      </c>
      <c r="I32" s="3">
        <v>1.3226666666666664</v>
      </c>
      <c r="J32" s="3">
        <v>0</v>
      </c>
      <c r="K32" s="3">
        <v>0</v>
      </c>
      <c r="L32" s="3">
        <v>1.4676666666666667</v>
      </c>
      <c r="M32" s="3">
        <v>1.8773333333333313</v>
      </c>
      <c r="N32" s="3">
        <v>1.8653333333333326</v>
      </c>
      <c r="O32" s="3">
        <f>SUM(Table2[[#This Row],[Qualified Social Work Staff Hours]:[Other Social Work Staff Hours]])/Table2[[#This Row],[MDS Census]]</f>
        <v>0.3002139037433153</v>
      </c>
      <c r="P32" s="3">
        <v>2.8234444444444482</v>
      </c>
      <c r="Q32" s="3">
        <v>3.5006666666666675</v>
      </c>
      <c r="R32" s="3">
        <f>SUM(Table2[[#This Row],[Qualified Activities Professional Hours]:[Other Activities Professional Hours]])/Table2[[#This Row],[MDS Census]]</f>
        <v>0.50728163992869912</v>
      </c>
      <c r="S32" s="3">
        <v>3.351666666666667</v>
      </c>
      <c r="T32" s="3">
        <v>1.2866666666666668</v>
      </c>
      <c r="U32" s="3">
        <v>0</v>
      </c>
      <c r="V32" s="3">
        <f>SUM(Table2[[#This Row],[Occupational Therapist Hours]:[OT Aide Hours]])/Table2[[#This Row],[MDS Census]]</f>
        <v>0.37205882352941178</v>
      </c>
      <c r="W32" s="3">
        <v>2.2139999999999995</v>
      </c>
      <c r="X32" s="3">
        <v>4.0586666666666673</v>
      </c>
      <c r="Y32" s="3">
        <v>0</v>
      </c>
      <c r="Z32" s="3">
        <f>SUM(Table2[[#This Row],[Physical Therapist (PT) Hours]:[PT Aide Hours]])/Table2[[#This Row],[MDS Census]]</f>
        <v>0.50315508021390376</v>
      </c>
      <c r="AA32" s="3">
        <v>0</v>
      </c>
      <c r="AB32" s="3">
        <v>0</v>
      </c>
      <c r="AC32" s="3">
        <v>0</v>
      </c>
      <c r="AD32" s="3">
        <v>0</v>
      </c>
      <c r="AE32" s="3">
        <v>0</v>
      </c>
      <c r="AF32" s="3">
        <v>0</v>
      </c>
      <c r="AG32" s="3">
        <v>0.10111111111111111</v>
      </c>
      <c r="AH32" s="1" t="s">
        <v>30</v>
      </c>
      <c r="AI32" s="17">
        <v>9</v>
      </c>
      <c r="AJ32" s="1"/>
    </row>
    <row r="33" spans="1:36" x14ac:dyDescent="0.2">
      <c r="A33" s="1" t="s">
        <v>41</v>
      </c>
      <c r="B33" s="1" t="s">
        <v>73</v>
      </c>
      <c r="C33" s="1" t="s">
        <v>97</v>
      </c>
      <c r="D33" s="1" t="s">
        <v>102</v>
      </c>
      <c r="E33" s="3">
        <v>66.577777777777783</v>
      </c>
      <c r="F33" s="3">
        <v>5.6888888888888891</v>
      </c>
      <c r="G33" s="3">
        <v>0.18055555555555555</v>
      </c>
      <c r="H33" s="3">
        <v>0.69444444444444442</v>
      </c>
      <c r="I33" s="3">
        <v>0</v>
      </c>
      <c r="J33" s="3">
        <v>0</v>
      </c>
      <c r="K33" s="3">
        <v>2.8444444444444446</v>
      </c>
      <c r="L33" s="3">
        <v>0.60166666666666646</v>
      </c>
      <c r="M33" s="3">
        <v>0</v>
      </c>
      <c r="N33" s="3">
        <v>0</v>
      </c>
      <c r="O33" s="3">
        <f>SUM(Table2[[#This Row],[Qualified Social Work Staff Hours]:[Other Social Work Staff Hours]])/Table2[[#This Row],[MDS Census]]</f>
        <v>0</v>
      </c>
      <c r="P33" s="3">
        <v>4.8888888888888893</v>
      </c>
      <c r="Q33" s="3">
        <v>18.194444444444443</v>
      </c>
      <c r="R33" s="3">
        <f>SUM(Table2[[#This Row],[Qualified Activities Professional Hours]:[Other Activities Professional Hours]])/Table2[[#This Row],[MDS Census]]</f>
        <v>0.34671228304405871</v>
      </c>
      <c r="S33" s="3">
        <v>0.9748888888888888</v>
      </c>
      <c r="T33" s="3">
        <v>2.9196666666666671</v>
      </c>
      <c r="U33" s="3">
        <v>0</v>
      </c>
      <c r="V33" s="3">
        <f>SUM(Table2[[#This Row],[Occupational Therapist Hours]:[OT Aide Hours]])/Table2[[#This Row],[MDS Census]]</f>
        <v>5.8496328437917224E-2</v>
      </c>
      <c r="W33" s="3">
        <v>1.1835555555555552</v>
      </c>
      <c r="X33" s="3">
        <v>4.0914444444444449</v>
      </c>
      <c r="Y33" s="3">
        <v>0</v>
      </c>
      <c r="Z33" s="3">
        <f>SUM(Table2[[#This Row],[Physical Therapist (PT) Hours]:[PT Aide Hours]])/Table2[[#This Row],[MDS Census]]</f>
        <v>7.9230640854472623E-2</v>
      </c>
      <c r="AA33" s="3">
        <v>0</v>
      </c>
      <c r="AB33" s="3">
        <v>0</v>
      </c>
      <c r="AC33" s="3">
        <v>0</v>
      </c>
      <c r="AD33" s="3">
        <v>0</v>
      </c>
      <c r="AE33" s="3">
        <v>0</v>
      </c>
      <c r="AF33" s="3">
        <v>0</v>
      </c>
      <c r="AG33" s="3">
        <v>0</v>
      </c>
      <c r="AH33" s="1" t="s">
        <v>31</v>
      </c>
      <c r="AI33" s="17">
        <v>9</v>
      </c>
      <c r="AJ33" s="1"/>
    </row>
    <row r="34" spans="1:36" x14ac:dyDescent="0.2">
      <c r="A34" s="1" t="s">
        <v>41</v>
      </c>
      <c r="B34" s="1" t="s">
        <v>74</v>
      </c>
      <c r="C34" s="1" t="s">
        <v>98</v>
      </c>
      <c r="D34" s="1" t="s">
        <v>104</v>
      </c>
      <c r="E34" s="3">
        <v>27.844444444444445</v>
      </c>
      <c r="F34" s="3">
        <v>0</v>
      </c>
      <c r="G34" s="3">
        <v>7.9444444444444446</v>
      </c>
      <c r="H34" s="3">
        <v>0.19444444444444445</v>
      </c>
      <c r="I34" s="3">
        <v>0.6</v>
      </c>
      <c r="J34" s="3">
        <v>0</v>
      </c>
      <c r="K34" s="3">
        <v>3.194</v>
      </c>
      <c r="L34" s="3">
        <v>1.7722222222222221</v>
      </c>
      <c r="M34" s="3">
        <v>4.7111111111111112</v>
      </c>
      <c r="N34" s="3">
        <v>0</v>
      </c>
      <c r="O34" s="3">
        <f>SUM(Table2[[#This Row],[Qualified Social Work Staff Hours]:[Other Social Work Staff Hours]])/Table2[[#This Row],[MDS Census]]</f>
        <v>0.16919393455706305</v>
      </c>
      <c r="P34" s="3">
        <v>5.333333333333333</v>
      </c>
      <c r="Q34" s="3">
        <v>17.43611111111111</v>
      </c>
      <c r="R34" s="3">
        <f>SUM(Table2[[#This Row],[Qualified Activities Professional Hours]:[Other Activities Professional Hours]])/Table2[[#This Row],[MDS Census]]</f>
        <v>0.8177374301675977</v>
      </c>
      <c r="S34" s="3">
        <v>1.5277777777777777</v>
      </c>
      <c r="T34" s="3">
        <v>0</v>
      </c>
      <c r="U34" s="3">
        <v>0</v>
      </c>
      <c r="V34" s="3">
        <f>SUM(Table2[[#This Row],[Occupational Therapist Hours]:[OT Aide Hours]])/Table2[[#This Row],[MDS Census]]</f>
        <v>5.4868316041500394E-2</v>
      </c>
      <c r="W34" s="3">
        <v>2.4186666666666659</v>
      </c>
      <c r="X34" s="3">
        <v>0</v>
      </c>
      <c r="Y34" s="3">
        <v>0</v>
      </c>
      <c r="Z34" s="3">
        <f>SUM(Table2[[#This Row],[Physical Therapist (PT) Hours]:[PT Aide Hours]])/Table2[[#This Row],[MDS Census]]</f>
        <v>8.6863527533918558E-2</v>
      </c>
      <c r="AA34" s="3">
        <v>0</v>
      </c>
      <c r="AB34" s="3">
        <v>0</v>
      </c>
      <c r="AC34" s="3">
        <v>0</v>
      </c>
      <c r="AD34" s="3">
        <v>0</v>
      </c>
      <c r="AE34" s="3">
        <v>0</v>
      </c>
      <c r="AF34" s="3">
        <v>64.09</v>
      </c>
      <c r="AG34" s="3">
        <v>0</v>
      </c>
      <c r="AH34" s="1" t="s">
        <v>32</v>
      </c>
      <c r="AI34" s="17">
        <v>9</v>
      </c>
      <c r="AJ34" s="1"/>
    </row>
    <row r="35" spans="1:36" x14ac:dyDescent="0.2">
      <c r="A35" s="1" t="s">
        <v>41</v>
      </c>
      <c r="B35" s="1" t="s">
        <v>75</v>
      </c>
      <c r="C35" s="1" t="s">
        <v>87</v>
      </c>
      <c r="D35" s="1" t="s">
        <v>104</v>
      </c>
      <c r="E35" s="3">
        <v>87.833333333333329</v>
      </c>
      <c r="F35" s="3">
        <v>5.4222222222222225</v>
      </c>
      <c r="G35" s="3">
        <v>0.1</v>
      </c>
      <c r="H35" s="3">
        <v>3.3333333333333333E-2</v>
      </c>
      <c r="I35" s="3">
        <v>5.1138888888888889</v>
      </c>
      <c r="J35" s="3">
        <v>0</v>
      </c>
      <c r="K35" s="3">
        <v>0</v>
      </c>
      <c r="L35" s="3">
        <v>5.4725555555555561</v>
      </c>
      <c r="M35" s="3">
        <v>0.7944444444444444</v>
      </c>
      <c r="N35" s="3">
        <v>9.6833333333333336</v>
      </c>
      <c r="O35" s="3">
        <f>SUM(Table2[[#This Row],[Qualified Social Work Staff Hours]:[Other Social Work Staff Hours]])/Table2[[#This Row],[MDS Census]]</f>
        <v>0.11929158760278305</v>
      </c>
      <c r="P35" s="3">
        <v>11.577777777777778</v>
      </c>
      <c r="Q35" s="3">
        <v>17.805555555555557</v>
      </c>
      <c r="R35" s="3">
        <f>SUM(Table2[[#This Row],[Qualified Activities Professional Hours]:[Other Activities Professional Hours]])/Table2[[#This Row],[MDS Census]]</f>
        <v>0.33453510436432637</v>
      </c>
      <c r="S35" s="3">
        <v>5.6920000000000011</v>
      </c>
      <c r="T35" s="3">
        <v>6.5832222222222212</v>
      </c>
      <c r="U35" s="3">
        <v>0</v>
      </c>
      <c r="V35" s="3">
        <f>SUM(Table2[[#This Row],[Occupational Therapist Hours]:[OT Aide Hours]])/Table2[[#This Row],[MDS Census]]</f>
        <v>0.13975585072738775</v>
      </c>
      <c r="W35" s="3">
        <v>6.1457777777777762</v>
      </c>
      <c r="X35" s="3">
        <v>4.6053333333333333</v>
      </c>
      <c r="Y35" s="3">
        <v>0</v>
      </c>
      <c r="Z35" s="3">
        <f>SUM(Table2[[#This Row],[Physical Therapist (PT) Hours]:[PT Aide Hours]])/Table2[[#This Row],[MDS Census]]</f>
        <v>0.12240354206198607</v>
      </c>
      <c r="AA35" s="3">
        <v>0</v>
      </c>
      <c r="AB35" s="3">
        <v>0</v>
      </c>
      <c r="AC35" s="3">
        <v>0</v>
      </c>
      <c r="AD35" s="3">
        <v>0</v>
      </c>
      <c r="AE35" s="3">
        <v>0</v>
      </c>
      <c r="AF35" s="3">
        <v>0</v>
      </c>
      <c r="AG35" s="3">
        <v>2.088888888888889</v>
      </c>
      <c r="AH35" s="1" t="s">
        <v>33</v>
      </c>
      <c r="AI35" s="17">
        <v>9</v>
      </c>
      <c r="AJ35" s="1"/>
    </row>
    <row r="36" spans="1:36" x14ac:dyDescent="0.2">
      <c r="A36" s="1" t="s">
        <v>41</v>
      </c>
      <c r="B36" s="1" t="s">
        <v>76</v>
      </c>
      <c r="C36" s="1" t="s">
        <v>89</v>
      </c>
      <c r="D36" s="1" t="s">
        <v>103</v>
      </c>
      <c r="E36" s="3">
        <v>42.422222222222224</v>
      </c>
      <c r="F36" s="3">
        <v>2.3425555555555557</v>
      </c>
      <c r="G36" s="3">
        <v>0.20277777777777778</v>
      </c>
      <c r="H36" s="3">
        <v>0.22222222222222221</v>
      </c>
      <c r="I36" s="3">
        <v>0.24166666666666667</v>
      </c>
      <c r="J36" s="3">
        <v>0</v>
      </c>
      <c r="K36" s="3">
        <v>0</v>
      </c>
      <c r="L36" s="3">
        <v>1.9302222222222216</v>
      </c>
      <c r="M36" s="3">
        <v>5.177888888888889</v>
      </c>
      <c r="N36" s="3">
        <v>0</v>
      </c>
      <c r="O36" s="3">
        <f>SUM(Table2[[#This Row],[Qualified Social Work Staff Hours]:[Other Social Work Staff Hours]])/Table2[[#This Row],[MDS Census]]</f>
        <v>0.12205605028810895</v>
      </c>
      <c r="P36" s="3">
        <v>5.4507777777777777</v>
      </c>
      <c r="Q36" s="3">
        <v>7.3303333333333338</v>
      </c>
      <c r="R36" s="3">
        <f>SUM(Table2[[#This Row],[Qualified Activities Professional Hours]:[Other Activities Professional Hours]])/Table2[[#This Row],[MDS Census]]</f>
        <v>0.30128339444735464</v>
      </c>
      <c r="S36" s="3">
        <v>4.5634444444444453</v>
      </c>
      <c r="T36" s="3">
        <v>6.133333333333333E-2</v>
      </c>
      <c r="U36" s="3">
        <v>0</v>
      </c>
      <c r="V36" s="3">
        <f>SUM(Table2[[#This Row],[Occupational Therapist Hours]:[OT Aide Hours]])/Table2[[#This Row],[MDS Census]]</f>
        <v>0.1090178103719225</v>
      </c>
      <c r="W36" s="3">
        <v>5.5941111111111113</v>
      </c>
      <c r="X36" s="3">
        <v>1.669</v>
      </c>
      <c r="Y36" s="3">
        <v>0</v>
      </c>
      <c r="Z36" s="3">
        <f>SUM(Table2[[#This Row],[Physical Therapist (PT) Hours]:[PT Aide Hours]])/Table2[[#This Row],[MDS Census]]</f>
        <v>0.17121005762179153</v>
      </c>
      <c r="AA36" s="3">
        <v>0</v>
      </c>
      <c r="AB36" s="3">
        <v>0</v>
      </c>
      <c r="AC36" s="3">
        <v>0</v>
      </c>
      <c r="AD36" s="3">
        <v>0</v>
      </c>
      <c r="AE36" s="3">
        <v>0</v>
      </c>
      <c r="AF36" s="3">
        <v>0</v>
      </c>
      <c r="AG36" s="3">
        <v>0</v>
      </c>
      <c r="AH36" s="1" t="s">
        <v>34</v>
      </c>
      <c r="AI36" s="17">
        <v>9</v>
      </c>
      <c r="AJ36" s="1"/>
    </row>
    <row r="37" spans="1:36" x14ac:dyDescent="0.2">
      <c r="A37" s="1" t="s">
        <v>41</v>
      </c>
      <c r="B37" s="1" t="s">
        <v>77</v>
      </c>
      <c r="C37" s="1" t="s">
        <v>99</v>
      </c>
      <c r="D37" s="1" t="s">
        <v>103</v>
      </c>
      <c r="E37" s="3">
        <v>57.31111111111111</v>
      </c>
      <c r="F37" s="3">
        <v>5.5111111111111111</v>
      </c>
      <c r="G37" s="3">
        <v>0</v>
      </c>
      <c r="H37" s="3">
        <v>0</v>
      </c>
      <c r="I37" s="3">
        <v>0</v>
      </c>
      <c r="J37" s="3">
        <v>0</v>
      </c>
      <c r="K37" s="3">
        <v>0</v>
      </c>
      <c r="L37" s="3">
        <v>2.984999999999999</v>
      </c>
      <c r="M37" s="3">
        <v>4.9777777777777779</v>
      </c>
      <c r="N37" s="3">
        <v>0</v>
      </c>
      <c r="O37" s="3">
        <f>SUM(Table2[[#This Row],[Qualified Social Work Staff Hours]:[Other Social Work Staff Hours]])/Table2[[#This Row],[MDS Census]]</f>
        <v>8.685537029856534E-2</v>
      </c>
      <c r="P37" s="3">
        <v>5.2444444444444445</v>
      </c>
      <c r="Q37" s="3">
        <v>18.505555555555556</v>
      </c>
      <c r="R37" s="3">
        <f>SUM(Table2[[#This Row],[Qualified Activities Professional Hours]:[Other Activities Professional Hours]])/Table2[[#This Row],[MDS Census]]</f>
        <v>0.41440480806514152</v>
      </c>
      <c r="S37" s="3">
        <v>4.2158888888888892</v>
      </c>
      <c r="T37" s="3">
        <v>1.1011111111111112</v>
      </c>
      <c r="U37" s="3">
        <v>0</v>
      </c>
      <c r="V37" s="3">
        <f>SUM(Table2[[#This Row],[Occupational Therapist Hours]:[OT Aide Hours]])/Table2[[#This Row],[MDS Census]]</f>
        <v>9.2774331136099272E-2</v>
      </c>
      <c r="W37" s="3">
        <v>1.9878888888888888</v>
      </c>
      <c r="X37" s="3">
        <v>5.8167777777777774</v>
      </c>
      <c r="Y37" s="3">
        <v>0</v>
      </c>
      <c r="Z37" s="3">
        <f>SUM(Table2[[#This Row],[Physical Therapist (PT) Hours]:[PT Aide Hours]])/Table2[[#This Row],[MDS Census]]</f>
        <v>0.13618069018999612</v>
      </c>
      <c r="AA37" s="3">
        <v>0</v>
      </c>
      <c r="AB37" s="3">
        <v>0</v>
      </c>
      <c r="AC37" s="3">
        <v>0</v>
      </c>
      <c r="AD37" s="3">
        <v>0</v>
      </c>
      <c r="AE37" s="3">
        <v>0</v>
      </c>
      <c r="AF37" s="3">
        <v>0</v>
      </c>
      <c r="AG37" s="3">
        <v>0</v>
      </c>
      <c r="AH37" s="1" t="s">
        <v>35</v>
      </c>
      <c r="AI37" s="17">
        <v>9</v>
      </c>
      <c r="AJ37" s="1"/>
    </row>
    <row r="38" spans="1:36" x14ac:dyDescent="0.2">
      <c r="A38" s="1" t="s">
        <v>41</v>
      </c>
      <c r="B38" s="1" t="s">
        <v>78</v>
      </c>
      <c r="C38" s="1" t="s">
        <v>87</v>
      </c>
      <c r="D38" s="1" t="s">
        <v>104</v>
      </c>
      <c r="E38" s="3">
        <v>38.333333333333336</v>
      </c>
      <c r="F38" s="3">
        <v>4.75</v>
      </c>
      <c r="G38" s="3">
        <v>0.23011111111111104</v>
      </c>
      <c r="H38" s="3">
        <v>0.8666666666666667</v>
      </c>
      <c r="I38" s="3">
        <v>4.833333333333333</v>
      </c>
      <c r="J38" s="3">
        <v>0</v>
      </c>
      <c r="K38" s="3">
        <v>0</v>
      </c>
      <c r="L38" s="3">
        <v>0.30499999999999999</v>
      </c>
      <c r="M38" s="3">
        <v>4.5</v>
      </c>
      <c r="N38" s="3">
        <v>0</v>
      </c>
      <c r="O38" s="3">
        <f>SUM(Table2[[#This Row],[Qualified Social Work Staff Hours]:[Other Social Work Staff Hours]])/Table2[[#This Row],[MDS Census]]</f>
        <v>0.11739130434782608</v>
      </c>
      <c r="P38" s="3">
        <v>4.666666666666667</v>
      </c>
      <c r="Q38" s="3">
        <v>22.18888888888889</v>
      </c>
      <c r="R38" s="3">
        <f>SUM(Table2[[#This Row],[Qualified Activities Professional Hours]:[Other Activities Professional Hours]])/Table2[[#This Row],[MDS Census]]</f>
        <v>0.70057971014492759</v>
      </c>
      <c r="S38" s="3">
        <v>4.0445555555555552</v>
      </c>
      <c r="T38" s="3">
        <v>0</v>
      </c>
      <c r="U38" s="3">
        <v>0</v>
      </c>
      <c r="V38" s="3">
        <f>SUM(Table2[[#This Row],[Occupational Therapist Hours]:[OT Aide Hours]])/Table2[[#This Row],[MDS Census]]</f>
        <v>0.10551014492753621</v>
      </c>
      <c r="W38" s="3">
        <v>3.9917777777777781</v>
      </c>
      <c r="X38" s="3">
        <v>0</v>
      </c>
      <c r="Y38" s="3">
        <v>0</v>
      </c>
      <c r="Z38" s="3">
        <f>SUM(Table2[[#This Row],[Physical Therapist (PT) Hours]:[PT Aide Hours]])/Table2[[#This Row],[MDS Census]]</f>
        <v>0.10413333333333334</v>
      </c>
      <c r="AA38" s="3">
        <v>0</v>
      </c>
      <c r="AB38" s="3">
        <v>0</v>
      </c>
      <c r="AC38" s="3">
        <v>0</v>
      </c>
      <c r="AD38" s="3">
        <v>0</v>
      </c>
      <c r="AE38" s="3">
        <v>0</v>
      </c>
      <c r="AF38" s="3">
        <v>0</v>
      </c>
      <c r="AG38" s="3">
        <v>0</v>
      </c>
      <c r="AH38" s="1" t="s">
        <v>36</v>
      </c>
      <c r="AI38" s="17">
        <v>9</v>
      </c>
      <c r="AJ38" s="1"/>
    </row>
    <row r="39" spans="1:36" x14ac:dyDescent="0.2">
      <c r="A39" s="1" t="s">
        <v>41</v>
      </c>
      <c r="B39" s="1" t="s">
        <v>79</v>
      </c>
      <c r="C39" s="1" t="s">
        <v>87</v>
      </c>
      <c r="D39" s="1" t="s">
        <v>104</v>
      </c>
      <c r="E39" s="3">
        <v>88.011111111111106</v>
      </c>
      <c r="F39" s="3">
        <v>10.666666666666666</v>
      </c>
      <c r="G39" s="3">
        <v>0</v>
      </c>
      <c r="H39" s="3">
        <v>0</v>
      </c>
      <c r="I39" s="3">
        <v>0</v>
      </c>
      <c r="J39" s="3">
        <v>0</v>
      </c>
      <c r="K39" s="3">
        <v>0</v>
      </c>
      <c r="L39" s="3">
        <v>15.298111111111114</v>
      </c>
      <c r="M39" s="3">
        <v>15.911111111111111</v>
      </c>
      <c r="N39" s="3">
        <v>18.06388888888889</v>
      </c>
      <c r="O39" s="3">
        <f>SUM(Table2[[#This Row],[Qualified Social Work Staff Hours]:[Other Social Work Staff Hours]])/Table2[[#This Row],[MDS Census]]</f>
        <v>0.38603080419139002</v>
      </c>
      <c r="P39" s="3">
        <v>0</v>
      </c>
      <c r="Q39" s="3">
        <v>13.561111111111112</v>
      </c>
      <c r="R39" s="3">
        <f>SUM(Table2[[#This Row],[Qualified Activities Professional Hours]:[Other Activities Professional Hours]])/Table2[[#This Row],[MDS Census]]</f>
        <v>0.15408408029289233</v>
      </c>
      <c r="S39" s="3">
        <v>16.490777777777776</v>
      </c>
      <c r="T39" s="3">
        <v>43.360555555555536</v>
      </c>
      <c r="U39" s="3">
        <v>0</v>
      </c>
      <c r="V39" s="3">
        <f>SUM(Table2[[#This Row],[Occupational Therapist Hours]:[OT Aide Hours]])/Table2[[#This Row],[MDS Census]]</f>
        <v>0.68004292387324816</v>
      </c>
      <c r="W39" s="3">
        <v>25.412111111111102</v>
      </c>
      <c r="X39" s="3">
        <v>27.406999999999989</v>
      </c>
      <c r="Y39" s="3">
        <v>0</v>
      </c>
      <c r="Z39" s="3">
        <f>SUM(Table2[[#This Row],[Physical Therapist (PT) Hours]:[PT Aide Hours]])/Table2[[#This Row],[MDS Census]]</f>
        <v>0.60014139628834728</v>
      </c>
      <c r="AA39" s="3">
        <v>0</v>
      </c>
      <c r="AB39" s="3">
        <v>0</v>
      </c>
      <c r="AC39" s="3">
        <v>0</v>
      </c>
      <c r="AD39" s="3">
        <v>0</v>
      </c>
      <c r="AE39" s="3">
        <v>0</v>
      </c>
      <c r="AF39" s="3">
        <v>0</v>
      </c>
      <c r="AG39" s="3">
        <v>0</v>
      </c>
      <c r="AH39" s="1" t="s">
        <v>37</v>
      </c>
      <c r="AI39" s="17">
        <v>9</v>
      </c>
      <c r="AJ39" s="1"/>
    </row>
    <row r="40" spans="1:36" x14ac:dyDescent="0.2">
      <c r="A40" s="1" t="s">
        <v>41</v>
      </c>
      <c r="B40" s="1" t="s">
        <v>80</v>
      </c>
      <c r="C40" s="1" t="s">
        <v>83</v>
      </c>
      <c r="D40" s="1" t="s">
        <v>101</v>
      </c>
      <c r="E40" s="3">
        <v>71.322222222222223</v>
      </c>
      <c r="F40" s="3">
        <v>5.5111111111111111</v>
      </c>
      <c r="G40" s="3">
        <v>0</v>
      </c>
      <c r="H40" s="3">
        <v>0</v>
      </c>
      <c r="I40" s="3">
        <v>0.27777777777777779</v>
      </c>
      <c r="J40" s="3">
        <v>0</v>
      </c>
      <c r="K40" s="3">
        <v>0</v>
      </c>
      <c r="L40" s="3">
        <v>6.8543333333333329</v>
      </c>
      <c r="M40" s="3">
        <v>3.4666666666666668</v>
      </c>
      <c r="N40" s="3">
        <v>5.2527777777777782</v>
      </c>
      <c r="O40" s="3">
        <f>SUM(Table2[[#This Row],[Qualified Social Work Staff Hours]:[Other Social Work Staff Hours]])/Table2[[#This Row],[MDS Census]]</f>
        <v>0.12225424520953421</v>
      </c>
      <c r="P40" s="3">
        <v>5.3416666666666668</v>
      </c>
      <c r="Q40" s="3">
        <v>17.347222222222221</v>
      </c>
      <c r="R40" s="3">
        <f>SUM(Table2[[#This Row],[Qualified Activities Professional Hours]:[Other Activities Professional Hours]])/Table2[[#This Row],[MDS Census]]</f>
        <v>0.31811808692942828</v>
      </c>
      <c r="S40" s="3">
        <v>3.8872222222222232</v>
      </c>
      <c r="T40" s="3">
        <v>4.3182222222222233</v>
      </c>
      <c r="U40" s="3">
        <v>0</v>
      </c>
      <c r="V40" s="3">
        <f>SUM(Table2[[#This Row],[Occupational Therapist Hours]:[OT Aide Hours]])/Table2[[#This Row],[MDS Census]]</f>
        <v>0.11504751518928183</v>
      </c>
      <c r="W40" s="3">
        <v>6.014555555555555</v>
      </c>
      <c r="X40" s="3">
        <v>5.1291111111111123</v>
      </c>
      <c r="Y40" s="3">
        <v>0</v>
      </c>
      <c r="Z40" s="3">
        <f>SUM(Table2[[#This Row],[Physical Therapist (PT) Hours]:[PT Aide Hours]])/Table2[[#This Row],[MDS Census]]</f>
        <v>0.15624396323414863</v>
      </c>
      <c r="AA40" s="3">
        <v>0</v>
      </c>
      <c r="AB40" s="3">
        <v>0</v>
      </c>
      <c r="AC40" s="3">
        <v>0</v>
      </c>
      <c r="AD40" s="3">
        <v>0</v>
      </c>
      <c r="AE40" s="3">
        <v>0</v>
      </c>
      <c r="AF40" s="3">
        <v>0</v>
      </c>
      <c r="AG40" s="3">
        <v>0</v>
      </c>
      <c r="AH40" s="1" t="s">
        <v>38</v>
      </c>
      <c r="AI40" s="17">
        <v>9</v>
      </c>
      <c r="AJ40" s="1"/>
    </row>
    <row r="41" spans="1:36" x14ac:dyDescent="0.2">
      <c r="A41" s="1" t="s">
        <v>41</v>
      </c>
      <c r="B41" s="1" t="s">
        <v>81</v>
      </c>
      <c r="C41" s="1" t="s">
        <v>87</v>
      </c>
      <c r="D41" s="1" t="s">
        <v>104</v>
      </c>
      <c r="E41" s="3">
        <v>44.077777777777776</v>
      </c>
      <c r="F41" s="3">
        <v>5.5111111111111111</v>
      </c>
      <c r="G41" s="3">
        <v>0</v>
      </c>
      <c r="H41" s="3">
        <v>0</v>
      </c>
      <c r="I41" s="3">
        <v>6.333333333333333</v>
      </c>
      <c r="J41" s="3">
        <v>0</v>
      </c>
      <c r="K41" s="3">
        <v>0</v>
      </c>
      <c r="L41" s="3">
        <v>4.6899999999999986</v>
      </c>
      <c r="M41" s="3">
        <v>5.6916666666666664</v>
      </c>
      <c r="N41" s="3">
        <v>5.2666666666666666</v>
      </c>
      <c r="O41" s="3">
        <f>SUM(Table2[[#This Row],[Qualified Social Work Staff Hours]:[Other Social Work Staff Hours]])/Table2[[#This Row],[MDS Census]]</f>
        <v>0.24861356188555583</v>
      </c>
      <c r="P41" s="3">
        <v>0</v>
      </c>
      <c r="Q41" s="3">
        <v>10.647222222222222</v>
      </c>
      <c r="R41" s="3">
        <f>SUM(Table2[[#This Row],[Qualified Activities Professional Hours]:[Other Activities Professional Hours]])/Table2[[#This Row],[MDS Census]]</f>
        <v>0.2415553314847492</v>
      </c>
      <c r="S41" s="3">
        <v>0</v>
      </c>
      <c r="T41" s="3">
        <v>9.6353333333333335</v>
      </c>
      <c r="U41" s="3">
        <v>0</v>
      </c>
      <c r="V41" s="3">
        <f>SUM(Table2[[#This Row],[Occupational Therapist Hours]:[OT Aide Hours]])/Table2[[#This Row],[MDS Census]]</f>
        <v>0.21859843710612556</v>
      </c>
      <c r="W41" s="3">
        <v>8.328111111111113</v>
      </c>
      <c r="X41" s="3">
        <v>9.3359999999999967</v>
      </c>
      <c r="Y41" s="3">
        <v>0</v>
      </c>
      <c r="Z41" s="3">
        <f>SUM(Table2[[#This Row],[Physical Therapist (PT) Hours]:[PT Aide Hours]])/Table2[[#This Row],[MDS Census]]</f>
        <v>0.40074867658179986</v>
      </c>
      <c r="AA41" s="3">
        <v>0</v>
      </c>
      <c r="AB41" s="3">
        <v>0</v>
      </c>
      <c r="AC41" s="3">
        <v>0</v>
      </c>
      <c r="AD41" s="3">
        <v>8.8916666666666675</v>
      </c>
      <c r="AE41" s="3">
        <v>0</v>
      </c>
      <c r="AF41" s="3">
        <v>0</v>
      </c>
      <c r="AG41" s="3">
        <v>0</v>
      </c>
      <c r="AH41" s="1" t="s">
        <v>39</v>
      </c>
      <c r="AI41" s="17">
        <v>9</v>
      </c>
      <c r="AJ41" s="1"/>
    </row>
    <row r="42" spans="1:36" x14ac:dyDescent="0.2">
      <c r="A42" s="1" t="s">
        <v>41</v>
      </c>
      <c r="B42" s="1" t="s">
        <v>82</v>
      </c>
      <c r="C42" s="1" t="s">
        <v>100</v>
      </c>
      <c r="D42" s="1" t="s">
        <v>105</v>
      </c>
      <c r="E42" s="3">
        <v>10.7</v>
      </c>
      <c r="F42" s="3">
        <v>2.9305555555555554</v>
      </c>
      <c r="G42" s="3">
        <v>5.4222222222222225</v>
      </c>
      <c r="H42" s="3">
        <v>1.2233333333333334</v>
      </c>
      <c r="I42" s="3">
        <v>0.61888888888888893</v>
      </c>
      <c r="J42" s="3">
        <v>0</v>
      </c>
      <c r="K42" s="3">
        <v>0</v>
      </c>
      <c r="L42" s="3">
        <v>1.1666666666666667E-2</v>
      </c>
      <c r="M42" s="3">
        <v>2.9027777777777777</v>
      </c>
      <c r="N42" s="3">
        <v>0</v>
      </c>
      <c r="O42" s="3">
        <f>SUM(Table2[[#This Row],[Qualified Social Work Staff Hours]:[Other Social Work Staff Hours]])/Table2[[#This Row],[MDS Census]]</f>
        <v>0.27128764278296991</v>
      </c>
      <c r="P42" s="3">
        <v>0</v>
      </c>
      <c r="Q42" s="3">
        <v>0.87277777777777787</v>
      </c>
      <c r="R42" s="3">
        <f>SUM(Table2[[#This Row],[Qualified Activities Professional Hours]:[Other Activities Professional Hours]])/Table2[[#This Row],[MDS Census]]</f>
        <v>8.1568016614745595E-2</v>
      </c>
      <c r="S42" s="3">
        <v>2.8377777777777777</v>
      </c>
      <c r="T42" s="3">
        <v>0</v>
      </c>
      <c r="U42" s="3">
        <v>0</v>
      </c>
      <c r="V42" s="3">
        <f>SUM(Table2[[#This Row],[Occupational Therapist Hours]:[OT Aide Hours]])/Table2[[#This Row],[MDS Census]]</f>
        <v>0.2652128764278297</v>
      </c>
      <c r="W42" s="3">
        <v>3.1855555555555561</v>
      </c>
      <c r="X42" s="3">
        <v>3.4999999999999996E-2</v>
      </c>
      <c r="Y42" s="3">
        <v>5.4561111111111114</v>
      </c>
      <c r="Z42" s="3">
        <f>SUM(Table2[[#This Row],[Physical Therapist (PT) Hours]:[PT Aide Hours]])/Table2[[#This Row],[MDS Census]]</f>
        <v>0.81090342679127736</v>
      </c>
      <c r="AA42" s="3">
        <v>0</v>
      </c>
      <c r="AB42" s="3">
        <v>2.2222222222222223E-2</v>
      </c>
      <c r="AC42" s="3">
        <v>0</v>
      </c>
      <c r="AD42" s="3">
        <v>0</v>
      </c>
      <c r="AE42" s="3">
        <v>0</v>
      </c>
      <c r="AF42" s="3">
        <v>0</v>
      </c>
      <c r="AG42" s="3">
        <v>0</v>
      </c>
      <c r="AH42" s="1" t="s">
        <v>40</v>
      </c>
      <c r="AI42" s="17">
        <v>9</v>
      </c>
      <c r="AJ42" s="1"/>
    </row>
  </sheetData>
  <pageMargins left="0.7" right="0.7" top="0.75" bottom="0.75" header="0.3" footer="0.3"/>
  <pageSetup orientation="portrait" horizontalDpi="1200" verticalDpi="1200" r:id="rId1"/>
  <ignoredErrors>
    <ignoredError sqref="AH2:AH4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3"/>
  <sheetViews>
    <sheetView zoomScale="80" zoomScaleNormal="80" workbookViewId="0">
      <pane ySplit="2" topLeftCell="A3" activePane="bottomLeft" state="frozen"/>
      <selection activeCell="D1" sqref="D1"/>
      <selection pane="bottomLeft"/>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106</v>
      </c>
      <c r="C2" s="15" t="s">
        <v>185</v>
      </c>
      <c r="D2" s="16"/>
      <c r="F2" s="2" t="s">
        <v>205</v>
      </c>
      <c r="G2" s="2" t="s">
        <v>220</v>
      </c>
      <c r="H2" s="25" t="s">
        <v>218</v>
      </c>
      <c r="I2" s="25" t="s">
        <v>122</v>
      </c>
    </row>
    <row r="3" spans="2:15" ht="15" customHeight="1" x14ac:dyDescent="0.2">
      <c r="B3" s="8" t="s">
        <v>192</v>
      </c>
      <c r="C3" s="7">
        <f>AVERAGE(Nurse!E:E)</f>
        <v>77.584281842818413</v>
      </c>
      <c r="D3" s="7"/>
      <c r="F3" s="28" t="s">
        <v>198</v>
      </c>
      <c r="G3" s="21">
        <f>SUM(Table3[Total Hours Nurse Staffing])</f>
        <v>14649.00522222222</v>
      </c>
      <c r="H3" s="24" t="s">
        <v>191</v>
      </c>
      <c r="I3" s="22">
        <f>Table30[[#This Row],[State Total]]/C7</f>
        <v>4.605221596585233</v>
      </c>
    </row>
    <row r="4" spans="2:15" ht="15" customHeight="1" x14ac:dyDescent="0.2">
      <c r="B4" s="9" t="s">
        <v>133</v>
      </c>
      <c r="C4" s="7">
        <f>SUM(Nurse!J:J)/SUM(Nurse!E:E)</f>
        <v>4.605221596585233</v>
      </c>
      <c r="D4" s="7"/>
      <c r="F4" s="12" t="s">
        <v>223</v>
      </c>
      <c r="G4" s="21">
        <f>SUM(Table3[Total Direct Care Staff Hours])</f>
        <v>13580.685888888886</v>
      </c>
      <c r="H4" s="24">
        <f>Table30[[#This Row],[State Total]]/G3</f>
        <v>0.92707222660329747</v>
      </c>
      <c r="I4" s="22">
        <f>Table30[[#This Row],[State Total]]/C7</f>
        <v>4.2693730395478644</v>
      </c>
    </row>
    <row r="5" spans="2:15" ht="15" customHeight="1" thickBot="1" x14ac:dyDescent="0.25">
      <c r="B5" s="10" t="s">
        <v>258</v>
      </c>
      <c r="C5" s="11">
        <f>SUM(Nurse!L:L)/SUM(Nurse!E:E)</f>
        <v>1.5237207198396014</v>
      </c>
      <c r="D5" s="14"/>
      <c r="F5" s="28" t="s">
        <v>183</v>
      </c>
      <c r="G5" s="21">
        <f>SUM(Table3[Total RN Hours (w/ Admin, DON)])</f>
        <v>4846.8878888888894</v>
      </c>
      <c r="H5" s="24">
        <f>Table30[[#This Row],[State Total]]/G3</f>
        <v>0.3308680565924208</v>
      </c>
      <c r="I5" s="22">
        <f>Table30[[#This Row],[State Total]]/C7</f>
        <v>1.5237207198396014</v>
      </c>
      <c r="J5" s="20"/>
      <c r="K5" s="20"/>
      <c r="L5" s="20"/>
      <c r="M5" s="20"/>
      <c r="N5" s="20"/>
      <c r="O5" s="20"/>
    </row>
    <row r="6" spans="2:15" ht="15" customHeight="1" x14ac:dyDescent="0.2">
      <c r="B6" s="18" t="s">
        <v>186</v>
      </c>
      <c r="C6" s="19">
        <f>COUNTA(Nurse!A:A)-1</f>
        <v>41</v>
      </c>
      <c r="D6" s="1"/>
      <c r="F6" s="27" t="s">
        <v>199</v>
      </c>
      <c r="G6" s="21">
        <f>SUM(Table3[RN Hours (excl. Admin, DON)])</f>
        <v>3829.0395555555547</v>
      </c>
      <c r="H6" s="24">
        <f>Table30[[#This Row],[State Total]]/G3</f>
        <v>0.26138563659919961</v>
      </c>
      <c r="I6" s="22">
        <f>Table30[[#This Row],[State Total]]/C7</f>
        <v>1.2037387787038136</v>
      </c>
      <c r="J6" s="20"/>
      <c r="K6" s="20"/>
      <c r="L6" s="20"/>
      <c r="M6" s="20"/>
      <c r="N6" s="20"/>
      <c r="O6" s="20"/>
    </row>
    <row r="7" spans="2:15" ht="15" customHeight="1" x14ac:dyDescent="0.2">
      <c r="B7" s="18" t="s">
        <v>187</v>
      </c>
      <c r="C7" s="19">
        <f>SUM(Nurse!E:E)</f>
        <v>3180.9555555555548</v>
      </c>
      <c r="D7" s="1"/>
      <c r="F7" s="27" t="s">
        <v>200</v>
      </c>
      <c r="G7" s="21">
        <f>SUM(Table3[RN Admin Hours])</f>
        <v>833.84511111111124</v>
      </c>
      <c r="H7" s="24">
        <f>Table30[[#This Row],[State Total]]/G3</f>
        <v>5.6921620168868974E-2</v>
      </c>
      <c r="I7" s="22">
        <f>Table30[[#This Row],[State Total]]/C7</f>
        <v>0.26213667451429701</v>
      </c>
      <c r="J7" s="20"/>
      <c r="K7" s="20"/>
      <c r="L7" s="20"/>
      <c r="M7" s="20"/>
      <c r="N7" s="20"/>
      <c r="O7" s="20"/>
    </row>
    <row r="8" spans="2:15" ht="15" customHeight="1" x14ac:dyDescent="0.2">
      <c r="F8" s="27" t="s">
        <v>201</v>
      </c>
      <c r="G8" s="21">
        <f>SUM(Table3[RN DON Hours])</f>
        <v>184.00322222222221</v>
      </c>
      <c r="H8" s="24">
        <f>Table30[[#This Row],[State Total]]/G3</f>
        <v>1.2560799824352124E-2</v>
      </c>
      <c r="I8" s="22">
        <f>Table30[[#This Row],[State Total]]/C7</f>
        <v>5.7845266621490407E-2</v>
      </c>
      <c r="J8" s="20"/>
      <c r="K8" s="20"/>
      <c r="L8" s="20"/>
      <c r="M8" s="20"/>
      <c r="N8" s="20"/>
      <c r="O8" s="20"/>
    </row>
    <row r="9" spans="2:15" ht="15" customHeight="1" x14ac:dyDescent="0.2">
      <c r="F9" s="12" t="s">
        <v>202</v>
      </c>
      <c r="G9" s="21">
        <f>SUM(Table3[Total LPN Hours (w/ Admin)])</f>
        <v>1078.5451111111113</v>
      </c>
      <c r="H9" s="24">
        <f>Table30[[#This Row],[State Total]]/G3</f>
        <v>7.3625826105583062E-2</v>
      </c>
      <c r="I9" s="22">
        <f>Table30[[#This Row],[State Total]]/C7</f>
        <v>0.33906324444785996</v>
      </c>
      <c r="J9" s="20"/>
      <c r="K9" s="20"/>
      <c r="L9" s="20"/>
      <c r="M9" s="20"/>
      <c r="N9" s="20"/>
      <c r="O9" s="20"/>
    </row>
    <row r="10" spans="2:15" ht="15" customHeight="1" x14ac:dyDescent="0.2">
      <c r="F10" s="27" t="s">
        <v>206</v>
      </c>
      <c r="G10" s="21">
        <f>SUM(Table3[LPN Hours (excl. Admin)])</f>
        <v>1028.0741111111113</v>
      </c>
      <c r="H10" s="24">
        <f>Table30[[#This Row],[State Total]]/G3</f>
        <v>7.0180472702101662E-2</v>
      </c>
      <c r="I10" s="22">
        <f>Table30[[#This Row],[State Total]]/C7</f>
        <v>0.32319662854627901</v>
      </c>
      <c r="J10" s="20"/>
      <c r="K10" s="20"/>
      <c r="L10" s="20"/>
      <c r="M10" s="20"/>
      <c r="N10" s="20"/>
      <c r="O10" s="20"/>
    </row>
    <row r="11" spans="2:15" ht="15" customHeight="1" x14ac:dyDescent="0.2">
      <c r="F11" s="27" t="s">
        <v>203</v>
      </c>
      <c r="G11" s="21">
        <f>SUM(Table3[LPN Admin Hours])</f>
        <v>50.471000000000004</v>
      </c>
      <c r="H11" s="24">
        <f>Table30[[#This Row],[State Total]]/G3</f>
        <v>3.4453534034813915E-3</v>
      </c>
      <c r="I11" s="22">
        <f>Table30[[#This Row],[State Total]]/C7</f>
        <v>1.5866615901580942E-2</v>
      </c>
      <c r="J11" s="20"/>
      <c r="K11" s="20"/>
      <c r="L11" s="20"/>
      <c r="M11" s="20"/>
      <c r="N11" s="20"/>
      <c r="O11" s="20"/>
    </row>
    <row r="12" spans="2:15" ht="15" customHeight="1" x14ac:dyDescent="0.2">
      <c r="F12" s="12" t="s">
        <v>207</v>
      </c>
      <c r="G12" s="21">
        <f>SUM(Table3[Total CNA, NA TR, Med Aide/Tech Hours])</f>
        <v>8723.572222222223</v>
      </c>
      <c r="H12" s="24">
        <f>Table30[[#This Row],[State Total]]/G3</f>
        <v>0.59550611730199643</v>
      </c>
      <c r="I12" s="22">
        <f>Table30[[#This Row],[State Total]]/C7</f>
        <v>2.742437632297773</v>
      </c>
      <c r="J12" s="20"/>
      <c r="K12" s="20"/>
      <c r="L12" s="20"/>
      <c r="M12" s="20"/>
      <c r="N12" s="20"/>
      <c r="O12" s="20"/>
    </row>
    <row r="13" spans="2:15" ht="15" customHeight="1" x14ac:dyDescent="0.2">
      <c r="F13" s="27" t="s">
        <v>121</v>
      </c>
      <c r="G13" s="21">
        <f>SUM(Table3[CNA Hours])</f>
        <v>8407.2314444444437</v>
      </c>
      <c r="H13" s="24">
        <f>Table30[[#This Row],[State Total]]/G3</f>
        <v>0.57391142380718507</v>
      </c>
      <c r="I13" s="22">
        <f>Table30[[#This Row],[State Total]]/C7</f>
        <v>2.6429892834438293</v>
      </c>
      <c r="J13" s="20"/>
      <c r="K13" s="20"/>
      <c r="L13" s="20"/>
      <c r="M13" s="20"/>
      <c r="N13" s="20"/>
      <c r="O13" s="20"/>
    </row>
    <row r="14" spans="2:15" ht="15" customHeight="1" x14ac:dyDescent="0.2">
      <c r="F14" s="27" t="s">
        <v>188</v>
      </c>
      <c r="G14" s="21">
        <f>SUM(Table3[NA TR Hours])</f>
        <v>308.85988888888886</v>
      </c>
      <c r="H14" s="24">
        <f>Table30[[#This Row],[State Total]]/G3</f>
        <v>2.1084017938662155E-2</v>
      </c>
      <c r="I14" s="22">
        <f>Table30[[#This Row],[State Total]]/C7</f>
        <v>9.709657475391742E-2</v>
      </c>
    </row>
    <row r="15" spans="2:15" ht="15" customHeight="1" x14ac:dyDescent="0.2">
      <c r="F15" s="29" t="s">
        <v>180</v>
      </c>
      <c r="G15" s="23">
        <f>SUM(Table3[Med Aide/Tech Hours])</f>
        <v>7.4808888888888871</v>
      </c>
      <c r="H15" s="24">
        <f>Table30[[#This Row],[State Total]]/G3</f>
        <v>5.1067555614906477E-4</v>
      </c>
      <c r="I15" s="22">
        <f>Table30[[#This Row],[State Total]]/C7</f>
        <v>2.3517741000258483E-3</v>
      </c>
    </row>
    <row r="16" spans="2:15" ht="15" customHeight="1" x14ac:dyDescent="0.2"/>
    <row r="17" spans="6:7" ht="15" customHeight="1" x14ac:dyDescent="0.2"/>
    <row r="18" spans="6:7" ht="15" customHeight="1" x14ac:dyDescent="0.2">
      <c r="F18" s="2" t="s">
        <v>216</v>
      </c>
      <c r="G18" s="2" t="s">
        <v>220</v>
      </c>
    </row>
    <row r="19" spans="6:7" ht="15" customHeight="1" x14ac:dyDescent="0.2">
      <c r="F19" s="2" t="s">
        <v>208</v>
      </c>
      <c r="G19" s="12">
        <f>SUM(Table3[RN Hours Contract])</f>
        <v>42.532888888888891</v>
      </c>
    </row>
    <row r="20" spans="6:7" ht="15" customHeight="1" x14ac:dyDescent="0.2">
      <c r="F20" s="2" t="s">
        <v>209</v>
      </c>
      <c r="G20" s="12">
        <f>SUM(Table3[RN Admin Hours Contract])</f>
        <v>13.766666666666666</v>
      </c>
    </row>
    <row r="21" spans="6:7" ht="15" customHeight="1" x14ac:dyDescent="0.2">
      <c r="F21" s="2" t="s">
        <v>210</v>
      </c>
      <c r="G21" s="12">
        <f>SUM(Table3[RN DON Hours Contract])</f>
        <v>0</v>
      </c>
    </row>
    <row r="22" spans="6:7" ht="15" customHeight="1" x14ac:dyDescent="0.2">
      <c r="F22" s="2" t="s">
        <v>211</v>
      </c>
      <c r="G22" s="12">
        <f>SUM(Table3[LPN Hours Contract])</f>
        <v>51.442111111111117</v>
      </c>
    </row>
    <row r="23" spans="6:7" ht="15" customHeight="1" x14ac:dyDescent="0.2">
      <c r="F23" s="2" t="s">
        <v>212</v>
      </c>
      <c r="G23" s="12">
        <f>SUM(Table3[LPN Admin Hours Contract])</f>
        <v>0.56111111111111112</v>
      </c>
    </row>
    <row r="24" spans="6:7" ht="15" customHeight="1" x14ac:dyDescent="0.2">
      <c r="F24" s="2" t="s">
        <v>213</v>
      </c>
      <c r="G24" s="12">
        <f>SUM(Table3[CNA Hours Contract])</f>
        <v>223.94799999999995</v>
      </c>
    </row>
    <row r="25" spans="6:7" ht="15" customHeight="1" x14ac:dyDescent="0.2">
      <c r="F25" s="2" t="s">
        <v>214</v>
      </c>
      <c r="G25" s="12">
        <f>SUM(Table3[NA TR Hours Contract])</f>
        <v>1</v>
      </c>
    </row>
    <row r="26" spans="6:7" ht="15" customHeight="1" x14ac:dyDescent="0.2">
      <c r="F26" s="2" t="s">
        <v>215</v>
      </c>
      <c r="G26" s="12">
        <f>SUM(Table3[Med Aide Hours Contract])</f>
        <v>0</v>
      </c>
    </row>
    <row r="27" spans="6:7" ht="15" customHeight="1" x14ac:dyDescent="0.2">
      <c r="F27" s="2" t="s">
        <v>204</v>
      </c>
      <c r="G27" s="12">
        <f>SUM(G19:G26)</f>
        <v>333.25077777777773</v>
      </c>
    </row>
    <row r="28" spans="6:7" ht="15" customHeight="1" x14ac:dyDescent="0.2">
      <c r="F28" s="2" t="s">
        <v>219</v>
      </c>
      <c r="G28" s="26">
        <f>G27/G3</f>
        <v>2.2749038089783982E-2</v>
      </c>
    </row>
    <row r="29" spans="6:7" ht="15" customHeight="1" x14ac:dyDescent="0.2"/>
    <row r="30" spans="6:7" ht="15" customHeight="1" x14ac:dyDescent="0.2">
      <c r="G30" s="12"/>
    </row>
    <row r="31" spans="6:7" ht="15" customHeight="1" x14ac:dyDescent="0.2"/>
    <row r="32" spans="6:7" ht="15" customHeight="1" x14ac:dyDescent="0.2">
      <c r="F32" s="2" t="s">
        <v>205</v>
      </c>
      <c r="G32" s="25" t="s">
        <v>122</v>
      </c>
    </row>
    <row r="33" spans="6:7" ht="15" customHeight="1" x14ac:dyDescent="0.2">
      <c r="F33" s="28" t="s">
        <v>184</v>
      </c>
      <c r="G33" s="22">
        <f>I3</f>
        <v>4.605221596585233</v>
      </c>
    </row>
    <row r="34" spans="6:7" ht="15" customHeight="1" x14ac:dyDescent="0.2">
      <c r="F34" s="12" t="s">
        <v>217</v>
      </c>
      <c r="G34" s="22">
        <f>I5</f>
        <v>1.5237207198396014</v>
      </c>
    </row>
    <row r="35" spans="6:7" ht="15" customHeight="1" x14ac:dyDescent="0.2">
      <c r="F35" s="12" t="s">
        <v>123</v>
      </c>
      <c r="G35" s="22">
        <f>I9</f>
        <v>0.33906324444785996</v>
      </c>
    </row>
    <row r="36" spans="6:7" ht="15" customHeight="1" x14ac:dyDescent="0.2">
      <c r="F36" s="12" t="s">
        <v>221</v>
      </c>
      <c r="G36" s="22">
        <f>I12</f>
        <v>2.742437632297773</v>
      </c>
    </row>
    <row r="37" spans="6:7" ht="15" customHeight="1" x14ac:dyDescent="0.2"/>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sheetData>
  <pageMargins left="0.7" right="0.7" top="0.75" bottom="0.75" header="0.3" footer="0.3"/>
  <pageSetup orientation="portrait" horizontalDpi="300" verticalDpi="300" r:id="rId1"/>
  <ignoredErrors>
    <ignoredError sqref="C3 C5:C7 H6:H8 H9:H15 I3:I15 H3:H4" calculatedColumn="1"/>
  </ignoredErrors>
  <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Normal="100" workbookViewId="0">
      <selection activeCell="H32" sqref="H32"/>
    </sheetView>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Data'!$F$32:$G$36</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67EBB-19AF-4F9B-97DF-9404F8BE094C}">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224</v>
      </c>
      <c r="D2" s="31"/>
    </row>
    <row r="3" spans="2:4" x14ac:dyDescent="0.2">
      <c r="C3" s="32" t="s">
        <v>121</v>
      </c>
      <c r="D3" s="33" t="s">
        <v>225</v>
      </c>
    </row>
    <row r="4" spans="2:4" x14ac:dyDescent="0.2">
      <c r="C4" s="34" t="s">
        <v>122</v>
      </c>
      <c r="D4" s="35" t="s">
        <v>226</v>
      </c>
    </row>
    <row r="5" spans="2:4" x14ac:dyDescent="0.2">
      <c r="C5" s="34" t="s">
        <v>123</v>
      </c>
      <c r="D5" s="35" t="s">
        <v>227</v>
      </c>
    </row>
    <row r="6" spans="2:4" ht="15.75" customHeight="1" x14ac:dyDescent="0.2">
      <c r="C6" s="34" t="s">
        <v>180</v>
      </c>
      <c r="D6" s="35" t="s">
        <v>228</v>
      </c>
    </row>
    <row r="7" spans="2:4" ht="15.5" customHeight="1" x14ac:dyDescent="0.2">
      <c r="C7" s="34" t="s">
        <v>188</v>
      </c>
      <c r="D7" s="35" t="s">
        <v>229</v>
      </c>
    </row>
    <row r="8" spans="2:4" x14ac:dyDescent="0.2">
      <c r="C8" s="34" t="s">
        <v>230</v>
      </c>
      <c r="D8" s="35" t="s">
        <v>231</v>
      </c>
    </row>
    <row r="9" spans="2:4" x14ac:dyDescent="0.2">
      <c r="C9" s="36" t="s">
        <v>232</v>
      </c>
      <c r="D9" s="34" t="s">
        <v>233</v>
      </c>
    </row>
    <row r="10" spans="2:4" x14ac:dyDescent="0.2">
      <c r="B10" s="37"/>
      <c r="C10" s="34" t="s">
        <v>234</v>
      </c>
      <c r="D10" s="35" t="s">
        <v>235</v>
      </c>
    </row>
    <row r="11" spans="2:4" x14ac:dyDescent="0.2">
      <c r="C11" s="34" t="s">
        <v>236</v>
      </c>
      <c r="D11" s="35" t="s">
        <v>237</v>
      </c>
    </row>
    <row r="12" spans="2:4" x14ac:dyDescent="0.2">
      <c r="C12" s="34" t="s">
        <v>238</v>
      </c>
      <c r="D12" s="35" t="s">
        <v>239</v>
      </c>
    </row>
    <row r="13" spans="2:4" x14ac:dyDescent="0.2">
      <c r="C13" s="34" t="s">
        <v>234</v>
      </c>
      <c r="D13" s="35" t="s">
        <v>235</v>
      </c>
    </row>
    <row r="14" spans="2:4" x14ac:dyDescent="0.2">
      <c r="C14" s="34" t="s">
        <v>236</v>
      </c>
      <c r="D14" s="35" t="s">
        <v>240</v>
      </c>
    </row>
    <row r="15" spans="2:4" x14ac:dyDescent="0.2">
      <c r="C15" s="38" t="s">
        <v>238</v>
      </c>
      <c r="D15" s="39" t="s">
        <v>239</v>
      </c>
    </row>
    <row r="17" spans="3:4" ht="24" x14ac:dyDescent="0.3">
      <c r="C17" s="30" t="s">
        <v>241</v>
      </c>
      <c r="D17" s="31"/>
    </row>
    <row r="18" spans="3:4" x14ac:dyDescent="0.2">
      <c r="C18" s="34" t="s">
        <v>122</v>
      </c>
      <c r="D18" s="35" t="s">
        <v>242</v>
      </c>
    </row>
    <row r="19" spans="3:4" x14ac:dyDescent="0.2">
      <c r="C19" s="34" t="s">
        <v>184</v>
      </c>
      <c r="D19" s="35" t="s">
        <v>243</v>
      </c>
    </row>
    <row r="20" spans="3:4" x14ac:dyDescent="0.2">
      <c r="C20" s="36" t="s">
        <v>244</v>
      </c>
      <c r="D20" s="34" t="s">
        <v>245</v>
      </c>
    </row>
    <row r="21" spans="3:4" x14ac:dyDescent="0.2">
      <c r="C21" s="34" t="s">
        <v>246</v>
      </c>
      <c r="D21" s="35" t="s">
        <v>247</v>
      </c>
    </row>
    <row r="22" spans="3:4" x14ac:dyDescent="0.2">
      <c r="C22" s="34" t="s">
        <v>248</v>
      </c>
      <c r="D22" s="35" t="s">
        <v>249</v>
      </c>
    </row>
    <row r="23" spans="3:4" x14ac:dyDescent="0.2">
      <c r="C23" s="34" t="s">
        <v>250</v>
      </c>
      <c r="D23" s="35" t="s">
        <v>251</v>
      </c>
    </row>
    <row r="24" spans="3:4" x14ac:dyDescent="0.2">
      <c r="C24" s="34" t="s">
        <v>252</v>
      </c>
      <c r="D24" s="35" t="s">
        <v>253</v>
      </c>
    </row>
    <row r="25" spans="3:4" x14ac:dyDescent="0.2">
      <c r="C25" s="34" t="s">
        <v>183</v>
      </c>
      <c r="D25" s="35" t="s">
        <v>254</v>
      </c>
    </row>
    <row r="26" spans="3:4" x14ac:dyDescent="0.2">
      <c r="C26" s="34" t="s">
        <v>248</v>
      </c>
      <c r="D26" s="35" t="s">
        <v>249</v>
      </c>
    </row>
    <row r="27" spans="3:4" x14ac:dyDescent="0.2">
      <c r="C27" s="34" t="s">
        <v>250</v>
      </c>
      <c r="D27" s="35" t="s">
        <v>251</v>
      </c>
    </row>
    <row r="28" spans="3:4" x14ac:dyDescent="0.2">
      <c r="C28" s="38" t="s">
        <v>252</v>
      </c>
      <c r="D28" s="39" t="s">
        <v>253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s q m i d = " 2 2 7 a d c 4 6 - e 6 7 d - 4 4 3 9 - 9 9 f 0 - 5 f b e 7 0 9 a f 9 5 c "   x m l n s = " h t t p : / / s c h e m a s . m i c r o s o f t . c o m / D a t a M a s h u p " > A A A A A B Q D A A B Q S w M E F A A C A A g A Q G c 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Q G c 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B n B F M o i k e 4 D g A A A B E A A A A T A B w A R m 9 y b X V s Y X M v U 2 V j d G l v b j E u b S C i G A A o o B Q A A A A A A A A A A A A A A A A A A A A A A A A A A A A r T k 0 u y c z P U w i G 0 I b W A F B L A Q I t A B Q A A g A I A E B n B F N + K R 6 K p A A A A P U A A A A S A A A A A A A A A A A A A A A A A A A A A A B D b 2 5 m a W c v U G F j a 2 F n Z S 5 4 b W x Q S w E C L Q A U A A I A C A B A Z w R T D 8 r p q 6 Q A A A D p A A A A E w A A A A A A A A A A A A A A A A D w A A A A W 0 N v b n R l b n R f V H l w Z X N d L n h t b F B L A Q I t A B Q A A g A I A E B n 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B / 1 K h C m Y U 5 / E N u K D Y t A d D r u E r V m c M 7 x l n I s 2 R d M k u + 3 A A A A A A O g A A A A A I A A C A A A A C H Y 0 W r D S 9 T f d Q c a D s L x A h 8 4 R j G / j r I D 6 m l U P / X c k M m d V A A A A C O K 8 o / 5 j e F c o W T R I t a 8 R V 7 l s o s y b n S w c l f U P J j G 3 8 L M 0 x T A 9 F Z c w k / 9 t e j P z G V A z A b s e y Y N U F X T B i X C D x j + 7 + P R n e N 1 E H n E P O V q h j j t Y 5 S C k A A A A B m x u 2 p c F V E W u t x j B E Y f m 9 3 M 1 s X Q V w Z 0 T u s + h F Y F o y h s j + u q c Z F s 3 4 v C p h q 1 q T Q r c o K a 6 B / L u e M P 1 p 9 w B k L 1 G 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90438F-65AC-4696-B849-6BA41A9EDB64}">
  <ds:schemaRefs>
    <ds:schemaRef ds:uri="http://schemas.microsoft.com/DataMashup"/>
  </ds:schemaRefs>
</ds:datastoreItem>
</file>

<file path=customXml/itemProps3.xml><?xml version="1.0" encoding="utf-8"?>
<ds:datastoreItem xmlns:ds="http://schemas.openxmlformats.org/officeDocument/2006/customXml" ds:itemID="{7D8F2965-B12E-452A-8843-79FC2160E3CC}">
  <ds:schemaRefs>
    <ds:schemaRef ds:uri="http://schemas.microsoft.com/sharepoint/v3/contenttype/forms"/>
  </ds:schemaRefs>
</ds:datastoreItem>
</file>

<file path=customXml/itemProps4.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2021-08-13T18:49:36Z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